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0" yWindow="-195" windowWidth="15330" windowHeight="4935" tabRatio="571"/>
  </bookViews>
  <sheets>
    <sheet name="Несп.у-ща" sheetId="1" r:id="rId1"/>
  </sheets>
  <calcPr calcId="145621"/>
</workbook>
</file>

<file path=xl/calcChain.xml><?xml version="1.0" encoding="utf-8"?>
<calcChain xmlns="http://schemas.openxmlformats.org/spreadsheetml/2006/main">
  <c r="AJ18" i="1" l="1"/>
  <c r="AE17" i="1"/>
  <c r="AE16" i="1"/>
  <c r="AE15" i="1"/>
  <c r="AE14" i="1"/>
  <c r="AE13" i="1"/>
  <c r="AE12" i="1"/>
  <c r="AE11" i="1"/>
  <c r="AE10" i="1"/>
  <c r="AE9" i="1"/>
  <c r="AE8" i="1"/>
  <c r="W17" i="1"/>
  <c r="W16" i="1"/>
  <c r="W15" i="1"/>
  <c r="W14" i="1"/>
  <c r="W13" i="1"/>
  <c r="W12" i="1"/>
  <c r="W11" i="1"/>
  <c r="W10" i="1"/>
  <c r="W9" i="1"/>
  <c r="W8" i="1"/>
  <c r="N17" i="1"/>
  <c r="N16" i="1"/>
  <c r="N15" i="1"/>
  <c r="N14" i="1"/>
  <c r="N13" i="1"/>
  <c r="N12" i="1"/>
  <c r="N11" i="1"/>
  <c r="N10" i="1"/>
  <c r="N9" i="1"/>
  <c r="N8" i="1"/>
  <c r="E17" i="1"/>
  <c r="E16" i="1"/>
  <c r="E15" i="1"/>
  <c r="E14" i="1"/>
  <c r="E13" i="1"/>
  <c r="E12" i="1"/>
  <c r="E11" i="1"/>
  <c r="E10" i="1"/>
  <c r="E9" i="1"/>
  <c r="E8" i="1"/>
  <c r="BI17" i="1" l="1"/>
  <c r="BG17" i="1"/>
  <c r="S20" i="1"/>
  <c r="T13" i="1" l="1"/>
  <c r="AF17" i="1"/>
  <c r="S17" i="1"/>
  <c r="V17" i="1"/>
  <c r="T9" i="1"/>
  <c r="T8" i="1"/>
  <c r="S16" i="1"/>
  <c r="Q20" i="1"/>
  <c r="T17" i="1"/>
  <c r="T16" i="1"/>
  <c r="T15" i="1"/>
  <c r="T14" i="1"/>
  <c r="T12" i="1"/>
  <c r="T11" i="1"/>
  <c r="T10" i="1"/>
  <c r="R17" i="1"/>
  <c r="BS9" i="1" l="1"/>
  <c r="BS8" i="1"/>
  <c r="Z19" i="1" l="1"/>
  <c r="BI16" i="1" l="1"/>
  <c r="BI15" i="1"/>
  <c r="BI14" i="1"/>
  <c r="BI13" i="1"/>
  <c r="BI12" i="1"/>
  <c r="BI11" i="1"/>
  <c r="BI10" i="1"/>
  <c r="BI9" i="1"/>
  <c r="BI8" i="1"/>
  <c r="V16" i="1"/>
  <c r="V15" i="1"/>
  <c r="V14" i="1"/>
  <c r="V13" i="1"/>
  <c r="V12" i="1"/>
  <c r="V11" i="1"/>
  <c r="V10" i="1"/>
  <c r="V9" i="1"/>
  <c r="V8" i="1"/>
  <c r="T19" i="1" l="1"/>
  <c r="CB19" i="1" l="1"/>
  <c r="CC16" i="1"/>
  <c r="CC15" i="1"/>
  <c r="CC14" i="1"/>
  <c r="CC13" i="1"/>
  <c r="CC12" i="1"/>
  <c r="CC11" i="1"/>
  <c r="CC10" i="1"/>
  <c r="CC9" i="1"/>
  <c r="CC8" i="1"/>
  <c r="CB17" i="1"/>
  <c r="CB14" i="1"/>
  <c r="CB13" i="1"/>
  <c r="CB12" i="1"/>
  <c r="CB11" i="1"/>
  <c r="CB10" i="1"/>
  <c r="BV9" i="1" l="1"/>
  <c r="BV8" i="1"/>
  <c r="BO9" i="1"/>
  <c r="BO8" i="1"/>
  <c r="BF20" i="1"/>
  <c r="BJ17" i="1"/>
  <c r="BJ16" i="1"/>
  <c r="BJ14" i="1"/>
  <c r="BJ13" i="1"/>
  <c r="BJ12" i="1"/>
  <c r="BJ11" i="1"/>
  <c r="BJ10" i="1"/>
  <c r="BJ9" i="1"/>
  <c r="BJ8" i="1"/>
  <c r="BG16" i="1"/>
  <c r="BG15" i="1"/>
  <c r="BG14" i="1"/>
  <c r="BG13" i="1"/>
  <c r="BG12" i="1"/>
  <c r="BG11" i="1"/>
  <c r="BG10" i="1"/>
  <c r="BG9" i="1"/>
  <c r="BG8" i="1"/>
  <c r="AR15" i="1"/>
  <c r="AR13" i="1"/>
  <c r="AR9" i="1"/>
  <c r="AN15" i="1"/>
  <c r="AN13" i="1"/>
  <c r="R16" i="1"/>
  <c r="R15" i="1"/>
  <c r="R14" i="1"/>
  <c r="R13" i="1"/>
  <c r="R12" i="1"/>
  <c r="R11" i="1"/>
  <c r="R10" i="1"/>
  <c r="R9" i="1"/>
  <c r="R8" i="1"/>
  <c r="AN9" i="1"/>
  <c r="J8" i="1" l="1"/>
  <c r="BT9" i="1" l="1"/>
  <c r="BT8" i="1"/>
  <c r="AV12" i="1" l="1"/>
  <c r="BB12" i="1" s="1"/>
  <c r="AV17" i="1"/>
  <c r="BB17" i="1" s="1"/>
  <c r="AO18" i="1"/>
  <c r="AP18" i="1" s="1"/>
  <c r="I9" i="1" l="1"/>
  <c r="L9" i="1" s="1"/>
  <c r="U19" i="1" l="1"/>
  <c r="M9" i="1"/>
  <c r="L19" i="1"/>
  <c r="BN19" i="1" l="1"/>
  <c r="BE17" i="1" l="1"/>
  <c r="BE16" i="1"/>
  <c r="BE14" i="1"/>
  <c r="BE13" i="1"/>
  <c r="BE12" i="1"/>
  <c r="BE11" i="1"/>
  <c r="BE10" i="1"/>
  <c r="BE9" i="1"/>
  <c r="BE8" i="1"/>
  <c r="BF17" i="1"/>
  <c r="BF16" i="1"/>
  <c r="BE15" i="1"/>
  <c r="BF15" i="1"/>
  <c r="BF14" i="1"/>
  <c r="BF13" i="1"/>
  <c r="BF12" i="1"/>
  <c r="BF11" i="1"/>
  <c r="BF10" i="1"/>
  <c r="BF9" i="1"/>
  <c r="BF8" i="1"/>
  <c r="H19" i="1"/>
  <c r="J9" i="1"/>
  <c r="BF19" i="1" l="1"/>
  <c r="AX9" i="1"/>
  <c r="AW9" i="1"/>
  <c r="BB9" i="1" s="1"/>
  <c r="AA19" i="1"/>
  <c r="AB19" i="1"/>
  <c r="I8" i="1"/>
  <c r="M8" i="1"/>
  <c r="S8" i="1"/>
  <c r="AG8" i="1"/>
  <c r="S9" i="1"/>
  <c r="AG9" i="1"/>
  <c r="I10" i="1"/>
  <c r="K10" i="1" s="1"/>
  <c r="J10" i="1"/>
  <c r="M10" i="1"/>
  <c r="S10" i="1"/>
  <c r="AG10" i="1"/>
  <c r="I11" i="1"/>
  <c r="K11" i="1" s="1"/>
  <c r="J11" i="1"/>
  <c r="M11" i="1"/>
  <c r="S11" i="1"/>
  <c r="AG11" i="1"/>
  <c r="I12" i="1"/>
  <c r="K12" i="1" s="1"/>
  <c r="J12" i="1"/>
  <c r="M12" i="1"/>
  <c r="S12" i="1"/>
  <c r="AG12" i="1"/>
  <c r="I13" i="1"/>
  <c r="K13" i="1" s="1"/>
  <c r="J13" i="1"/>
  <c r="M13" i="1"/>
  <c r="S13" i="1"/>
  <c r="AG13" i="1"/>
  <c r="I14" i="1"/>
  <c r="J14" i="1"/>
  <c r="M14" i="1"/>
  <c r="S14" i="1"/>
  <c r="AG14" i="1"/>
  <c r="I15" i="1"/>
  <c r="K15" i="1" s="1"/>
  <c r="J15" i="1"/>
  <c r="M15" i="1"/>
  <c r="S15" i="1"/>
  <c r="AG15" i="1"/>
  <c r="I16" i="1"/>
  <c r="K16" i="1" s="1"/>
  <c r="J16" i="1"/>
  <c r="M16" i="1"/>
  <c r="AG16" i="1"/>
  <c r="I17" i="1"/>
  <c r="K17" i="1" s="1"/>
  <c r="J17" i="1"/>
  <c r="M17" i="1"/>
  <c r="AG17" i="1"/>
  <c r="AH17" i="1" s="1"/>
  <c r="D19" i="1"/>
  <c r="F19" i="1"/>
  <c r="G19" i="1"/>
  <c r="O19" i="1"/>
  <c r="P19" i="1"/>
  <c r="Q19" i="1"/>
  <c r="X19" i="1"/>
  <c r="Y19" i="1"/>
  <c r="AC19" i="1"/>
  <c r="AD19" i="1"/>
  <c r="AV9" i="1"/>
  <c r="AP9" i="1"/>
  <c r="AF16" i="1" l="1"/>
  <c r="AH16" i="1" s="1"/>
  <c r="AI16" i="1" s="1"/>
  <c r="AJ16" i="1" s="1"/>
  <c r="CD16" i="1" s="1"/>
  <c r="AF14" i="1"/>
  <c r="AH14" i="1" s="1"/>
  <c r="AI14" i="1" s="1"/>
  <c r="AJ14" i="1" s="1"/>
  <c r="AF12" i="1"/>
  <c r="AH12" i="1" s="1"/>
  <c r="AI12" i="1" s="1"/>
  <c r="AJ12" i="1" s="1"/>
  <c r="J19" i="1"/>
  <c r="V19" i="1"/>
  <c r="AF11" i="1"/>
  <c r="AH11" i="1" s="1"/>
  <c r="AI11" i="1" s="1"/>
  <c r="AJ11" i="1" s="1"/>
  <c r="S19" i="1"/>
  <c r="AI17" i="1"/>
  <c r="AJ17" i="1" s="1"/>
  <c r="AF15" i="1"/>
  <c r="AH15" i="1" s="1"/>
  <c r="AI15" i="1" s="1"/>
  <c r="AJ15" i="1" s="1"/>
  <c r="E19" i="1"/>
  <c r="AF9" i="1"/>
  <c r="AH9" i="1" s="1"/>
  <c r="AI9" i="1" s="1"/>
  <c r="AJ9" i="1" s="1"/>
  <c r="CD9" i="1" s="1"/>
  <c r="W19" i="1"/>
  <c r="M19" i="1"/>
  <c r="R19" i="1"/>
  <c r="AF13" i="1"/>
  <c r="AH13" i="1" s="1"/>
  <c r="AI13" i="1" s="1"/>
  <c r="AJ13" i="1" s="1"/>
  <c r="AF10" i="1"/>
  <c r="AH10" i="1" s="1"/>
  <c r="AI10" i="1" s="1"/>
  <c r="AJ10" i="1" s="1"/>
  <c r="I19" i="1"/>
  <c r="N19" i="1"/>
  <c r="K8" i="1"/>
  <c r="K19" i="1" s="1"/>
  <c r="AF8" i="1"/>
  <c r="AV10" i="1"/>
  <c r="AZ12" i="1"/>
  <c r="AX14" i="1"/>
  <c r="AX12" i="1"/>
  <c r="BZ19" i="1"/>
  <c r="CA19" i="1"/>
  <c r="AN19" i="1"/>
  <c r="BQ19" i="1"/>
  <c r="BP19" i="1"/>
  <c r="BR17" i="1"/>
  <c r="BR16" i="1"/>
  <c r="BR15" i="1"/>
  <c r="BR14" i="1"/>
  <c r="BR13" i="1"/>
  <c r="BR12" i="1"/>
  <c r="BR11" i="1"/>
  <c r="BR10" i="1"/>
  <c r="BR9" i="1"/>
  <c r="BR8" i="1"/>
  <c r="AP16" i="1"/>
  <c r="AO15" i="1"/>
  <c r="BT17" i="1"/>
  <c r="AX16" i="1"/>
  <c r="BT16" i="1"/>
  <c r="AO14" i="1"/>
  <c r="AX15" i="1"/>
  <c r="BT15" i="1"/>
  <c r="AO13" i="1"/>
  <c r="AO12" i="1"/>
  <c r="AP14" i="1" s="1"/>
  <c r="BT14" i="1"/>
  <c r="AO11" i="1"/>
  <c r="AP13" i="1" s="1"/>
  <c r="AX13" i="1"/>
  <c r="BB13" i="1" s="1"/>
  <c r="BT13" i="1"/>
  <c r="AO10" i="1"/>
  <c r="AP12" i="1" s="1"/>
  <c r="BT12" i="1"/>
  <c r="AO9" i="1"/>
  <c r="AP11" i="1" s="1"/>
  <c r="AX11" i="1"/>
  <c r="BT11" i="1"/>
  <c r="AO8" i="1"/>
  <c r="AP10" i="1" s="1"/>
  <c r="BT10" i="1"/>
  <c r="AQ8" i="1"/>
  <c r="AQ9" i="1"/>
  <c r="AQ10" i="1"/>
  <c r="AQ11" i="1"/>
  <c r="AQ12" i="1"/>
  <c r="AQ13" i="1"/>
  <c r="AQ14" i="1"/>
  <c r="AQ15" i="1"/>
  <c r="AQ16" i="1"/>
  <c r="AQ17" i="1"/>
  <c r="AY8" i="1"/>
  <c r="AY11" i="1"/>
  <c r="AY12" i="1"/>
  <c r="AY13" i="1"/>
  <c r="AY14" i="1"/>
  <c r="AY15" i="1"/>
  <c r="AY16" i="1"/>
  <c r="AY17" i="1"/>
  <c r="BC8" i="1"/>
  <c r="BC9" i="1"/>
  <c r="BC10" i="1"/>
  <c r="BC11" i="1"/>
  <c r="BC12" i="1"/>
  <c r="BC13" i="1"/>
  <c r="BC14" i="1"/>
  <c r="BC15" i="1"/>
  <c r="BC16" i="1"/>
  <c r="BC17" i="1"/>
  <c r="BO10" i="1"/>
  <c r="BU10" i="1" s="1"/>
  <c r="BO11" i="1"/>
  <c r="BU11" i="1" s="1"/>
  <c r="BO12" i="1"/>
  <c r="BU12" i="1" s="1"/>
  <c r="BO13" i="1"/>
  <c r="BU13" i="1" s="1"/>
  <c r="BO14" i="1"/>
  <c r="BU14" i="1" s="1"/>
  <c r="BO15" i="1"/>
  <c r="BU15" i="1" s="1"/>
  <c r="BO16" i="1"/>
  <c r="BU16" i="1" s="1"/>
  <c r="BO17" i="1"/>
  <c r="BU17" i="1" s="1"/>
  <c r="AP8" i="1"/>
  <c r="AX8" i="1"/>
  <c r="BB8" i="1" s="1"/>
  <c r="BW19" i="1"/>
  <c r="AO17" i="1"/>
  <c r="AW17" i="1"/>
  <c r="AX17" i="1" s="1"/>
  <c r="BS17" i="1"/>
  <c r="AO16" i="1"/>
  <c r="AW16" i="1"/>
  <c r="BS16" i="1"/>
  <c r="AW15" i="1"/>
  <c r="BB15" i="1" s="1"/>
  <c r="BS15" i="1"/>
  <c r="AW14" i="1"/>
  <c r="BS14" i="1"/>
  <c r="AW13" i="1"/>
  <c r="BS13" i="1"/>
  <c r="AW12" i="1"/>
  <c r="BS12" i="1"/>
  <c r="AW11" i="1"/>
  <c r="BS11" i="1"/>
  <c r="AW10" i="1"/>
  <c r="BB10" i="1" s="1"/>
  <c r="BB19" i="1" s="1"/>
  <c r="BS10" i="1"/>
  <c r="AW8" i="1"/>
  <c r="BD19" i="1"/>
  <c r="BM19" i="1"/>
  <c r="BL19" i="1"/>
  <c r="AT19" i="1"/>
  <c r="AK8" i="1"/>
  <c r="AK19" i="1" s="1"/>
  <c r="AV8" i="1"/>
  <c r="AZ8" i="1"/>
  <c r="AZ10" i="1"/>
  <c r="AV11" i="1"/>
  <c r="AZ11" i="1"/>
  <c r="AV13" i="1"/>
  <c r="AZ13" i="1"/>
  <c r="AV14" i="1"/>
  <c r="AZ14" i="1" s="1"/>
  <c r="AV15" i="1"/>
  <c r="AZ15" i="1"/>
  <c r="AV16" i="1"/>
  <c r="AZ16" i="1"/>
  <c r="AZ17" i="1"/>
  <c r="AL19" i="1"/>
  <c r="AM19" i="1"/>
  <c r="AS19" i="1"/>
  <c r="AU19" i="1"/>
  <c r="BE19" i="1"/>
  <c r="BX19" i="1"/>
  <c r="S22" i="1" l="1"/>
  <c r="S23" i="1" s="1"/>
  <c r="AO19" i="1"/>
  <c r="AP17" i="1"/>
  <c r="BH14" i="1"/>
  <c r="CD14" i="1"/>
  <c r="BH10" i="1"/>
  <c r="CD10" i="1"/>
  <c r="BH17" i="1"/>
  <c r="CD17" i="1"/>
  <c r="BH13" i="1"/>
  <c r="CD13" i="1"/>
  <c r="BH9" i="1"/>
  <c r="BH12" i="1"/>
  <c r="CD12" i="1"/>
  <c r="BH15" i="1"/>
  <c r="CD15" i="1"/>
  <c r="BH11" i="1"/>
  <c r="CD11" i="1"/>
  <c r="AH8" i="1"/>
  <c r="AF19" i="1"/>
  <c r="BH16" i="1"/>
  <c r="BH8" i="1"/>
  <c r="AZ9" i="1"/>
  <c r="AZ19" i="1" s="1"/>
  <c r="AY9" i="1"/>
  <c r="AY19" i="1" s="1"/>
  <c r="BR19" i="1"/>
  <c r="BV10" i="1"/>
  <c r="BV11" i="1"/>
  <c r="BV15" i="1"/>
  <c r="BV17" i="1"/>
  <c r="AR19" i="1"/>
  <c r="BO19" i="1"/>
  <c r="BK9" i="1"/>
  <c r="BS19" i="1"/>
  <c r="BJ15" i="1"/>
  <c r="AW19" i="1"/>
  <c r="BT19" i="1"/>
  <c r="AX19" i="1"/>
  <c r="AV19" i="1"/>
  <c r="AQ19" i="1"/>
  <c r="AP19" i="1"/>
  <c r="BK10" i="1"/>
  <c r="BC19" i="1"/>
  <c r="BU19" i="1"/>
  <c r="BV13" i="1"/>
  <c r="BV12" i="1"/>
  <c r="BV16" i="1"/>
  <c r="BK17" i="1"/>
  <c r="BK15" i="1"/>
  <c r="BV14" i="1"/>
  <c r="AI8" i="1" l="1"/>
  <c r="AJ8" i="1" s="1"/>
  <c r="CD8" i="1" s="1"/>
  <c r="BI19" i="1"/>
  <c r="AE20" i="1"/>
  <c r="Y20" i="1"/>
  <c r="AD20" i="1"/>
  <c r="X20" i="1"/>
  <c r="AC20" i="1"/>
  <c r="Z20" i="1"/>
  <c r="BH19" i="1"/>
  <c r="BV19" i="1"/>
  <c r="BJ19" i="1"/>
  <c r="BV23" i="1" s="1"/>
  <c r="BK19" i="1"/>
  <c r="BG19" i="1"/>
  <c r="AE19" i="1" l="1"/>
  <c r="AG18" i="1" s="1"/>
  <c r="BY12" i="1"/>
  <c r="BY10" i="1"/>
  <c r="BY9" i="1"/>
  <c r="BY13" i="1"/>
  <c r="BY17" i="1"/>
  <c r="BY11" i="1"/>
  <c r="BY15" i="1"/>
  <c r="BY14" i="1"/>
  <c r="AG19" i="1" l="1"/>
  <c r="BY16" i="1"/>
  <c r="BY8" i="1"/>
  <c r="AH18" i="1" l="1"/>
  <c r="BY19" i="1"/>
  <c r="AI18" i="1" l="1"/>
  <c r="AH19" i="1"/>
  <c r="CD19" i="1"/>
  <c r="AI19" i="1" l="1"/>
  <c r="BV22" i="1"/>
  <c r="AJ19" i="1" l="1"/>
  <c r="BV21" i="1" s="1"/>
  <c r="BV26" i="1" s="1"/>
</calcChain>
</file>

<file path=xl/sharedStrings.xml><?xml version="1.0" encoding="utf-8"?>
<sst xmlns="http://schemas.openxmlformats.org/spreadsheetml/2006/main" count="123" uniqueCount="79">
  <si>
    <t>училище</t>
  </si>
  <si>
    <t>бр ученици</t>
  </si>
  <si>
    <t>Самоков</t>
  </si>
  <si>
    <t>Радуил</t>
  </si>
  <si>
    <t>Ярлово</t>
  </si>
  <si>
    <t>населено място</t>
  </si>
  <si>
    <t>брой ученици</t>
  </si>
  <si>
    <t>сума за получаване от МФ</t>
  </si>
  <si>
    <t>ОУ "Васил Левски"</t>
  </si>
  <si>
    <t>индивидуална форма на обучение</t>
  </si>
  <si>
    <t>Общо бюджет на училището ЕРС+ПО</t>
  </si>
  <si>
    <t>Средства за защитени училища</t>
  </si>
  <si>
    <t>Говедарци</t>
  </si>
  <si>
    <t>по справки</t>
  </si>
  <si>
    <t xml:space="preserve">по справки </t>
  </si>
  <si>
    <t>Стипендии</t>
  </si>
  <si>
    <t>комбинирана форма на обучение</t>
  </si>
  <si>
    <t>разлика</t>
  </si>
  <si>
    <t>СУ “Отец Паисий”</t>
  </si>
  <si>
    <t>Преходен остатък от 2016г.</t>
  </si>
  <si>
    <t xml:space="preserve">за разпределяне </t>
  </si>
  <si>
    <t>за разпределяне</t>
  </si>
  <si>
    <t>по  стандарти</t>
  </si>
  <si>
    <t>Бюджет за разпределение по разходни стандарти</t>
  </si>
  <si>
    <t>по РС</t>
  </si>
  <si>
    <t>100% пучени по РС</t>
  </si>
  <si>
    <t>100% получени по РС</t>
  </si>
  <si>
    <t xml:space="preserve"> по ИС на МОН  </t>
  </si>
  <si>
    <t>Стандарт за паралелка</t>
  </si>
  <si>
    <t>бр. паралелки по НЕИСПУО</t>
  </si>
  <si>
    <t xml:space="preserve">резерв за възстановяване по чл.282,ал.19 от ЗПУО  </t>
  </si>
  <si>
    <t>по НЕИСПУО</t>
  </si>
  <si>
    <r>
      <t>НЕСПЕЦИАЛИЗИРАНИ У Ч И Л И Щ А, БЕЗ ПРОФЕСИОНАЛНИ ГИМНАЗИИ</t>
    </r>
    <r>
      <rPr>
        <sz val="10"/>
        <rFont val="Arial"/>
        <charset val="204"/>
      </rPr>
      <t xml:space="preserve"> </t>
    </r>
  </si>
  <si>
    <t>резерв по формула</t>
  </si>
  <si>
    <t>за възстановяване</t>
  </si>
  <si>
    <t>общо</t>
  </si>
  <si>
    <t>преходен остатък</t>
  </si>
  <si>
    <t>собствени приходи</t>
  </si>
  <si>
    <t>ОБЩО:</t>
  </si>
  <si>
    <t>брой паралелки</t>
  </si>
  <si>
    <t xml:space="preserve">Стандарт за институция </t>
  </si>
  <si>
    <t xml:space="preserve">Основни компоненти </t>
  </si>
  <si>
    <t>100 % получени по стандарт за институция</t>
  </si>
  <si>
    <t>100% получени по стандарт за ученик</t>
  </si>
  <si>
    <t>100 % получени по  стандарт за паралелка</t>
  </si>
  <si>
    <t>Стандарт за ученик</t>
  </si>
  <si>
    <t>Допълнителни компоненти</t>
  </si>
  <si>
    <t>ОК</t>
  </si>
  <si>
    <t>ДК</t>
  </si>
  <si>
    <t>Всичко средства по основни компоненти</t>
  </si>
  <si>
    <t>Всичко средства по допълнителни компоненти</t>
  </si>
  <si>
    <t>Средства по формулата основни + допълнителни компоненти</t>
  </si>
  <si>
    <t>Средства по регионален коефициент 0.034</t>
  </si>
  <si>
    <t>Всичко средства по формулата</t>
  </si>
  <si>
    <t>резерв</t>
  </si>
  <si>
    <t>0,7% на ученик ДЕСО - за ученици в ГЕ             VIII-XII кл. Х120.65</t>
  </si>
  <si>
    <t>по справки от директори</t>
  </si>
  <si>
    <t>бр. паралелки по стандарти</t>
  </si>
  <si>
    <t>разлика           /ерс-неиспуо/</t>
  </si>
  <si>
    <t xml:space="preserve">Средства за разпределяне по училища </t>
  </si>
  <si>
    <t>ОУ "Св.Св.Кирил и Методий"</t>
  </si>
  <si>
    <t>ПГ “Константин Фотинов”</t>
  </si>
  <si>
    <t>ОУ "Христо Максимов"</t>
  </si>
  <si>
    <t>ОУ "Митр.Авксентий Велешки"</t>
  </si>
  <si>
    <t>ОбУ "Неофит Рилски"</t>
  </si>
  <si>
    <t>НУ "Станислав Доспевски"</t>
  </si>
  <si>
    <t>ОУ "Димчо Дебелянов"</t>
  </si>
  <si>
    <t>ОУ "Христо Смирненски"</t>
  </si>
  <si>
    <t>разлика /ерс-спр.директори/</t>
  </si>
  <si>
    <t>разлика /неиспуо-спр.директори/</t>
  </si>
  <si>
    <t>Допълващ стандарт за материална база</t>
  </si>
  <si>
    <t>Средства за финансиране на делегираните дейности по образование, определени по разходни стандарти за 2025г.</t>
  </si>
  <si>
    <t xml:space="preserve"> по НЕИСПУО  </t>
  </si>
  <si>
    <t>0,1% на паралелка ДМБУ - за уилища под 200 ученика</t>
  </si>
  <si>
    <t>0,8% на училище без енергийна ефективност</t>
  </si>
  <si>
    <t>0.35% за логопедичен кабинет</t>
  </si>
  <si>
    <t>0.95% на паралелка ДМБУ - за уилища под 100 ученика</t>
  </si>
  <si>
    <t>99 %</t>
  </si>
  <si>
    <t xml:space="preserve">резерв 1%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</si>
</sst>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204"/>
    </font>
    <font>
      <sz val="8"/>
      <name val="Arial"/>
      <charset val="204"/>
    </font>
    <font>
      <sz val="8"/>
      <color indexed="8"/>
      <name val="Arial"/>
      <family val="2"/>
      <charset val="204"/>
    </font>
    <font>
      <sz val="12"/>
      <name val="Arial"/>
      <charset val="204"/>
    </font>
    <font>
      <sz val="8"/>
      <color indexed="8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name val="Arial"/>
      <charset val="204"/>
    </font>
    <font>
      <b/>
      <sz val="9"/>
      <name val="Arial"/>
      <charset val="204"/>
    </font>
    <font>
      <sz val="10"/>
      <color indexed="40"/>
      <name val="Arial"/>
      <charset val="204"/>
    </font>
    <font>
      <b/>
      <sz val="9"/>
      <color indexed="10"/>
      <name val="Arial"/>
      <family val="2"/>
      <charset val="204"/>
    </font>
    <font>
      <sz val="8"/>
      <color indexed="10"/>
      <name val="Arial"/>
      <charset val="204"/>
    </font>
    <font>
      <b/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10"/>
      <name val="Arial"/>
      <family val="2"/>
      <charset val="204"/>
    </font>
    <font>
      <sz val="6"/>
      <color indexed="8"/>
      <name val="Arial"/>
      <charset val="204"/>
    </font>
    <font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9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Fill="1"/>
    <xf numFmtId="0" fontId="4" fillId="0" borderId="1" xfId="0" applyFont="1" applyBorder="1" applyAlignment="1">
      <alignment wrapText="1"/>
    </xf>
    <xf numFmtId="0" fontId="1" fillId="0" borderId="1" xfId="0" applyFont="1" applyFill="1" applyBorder="1"/>
    <xf numFmtId="0" fontId="8" fillId="0" borderId="0" xfId="0" applyFont="1" applyFill="1"/>
    <xf numFmtId="2" fontId="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8" fillId="0" borderId="5" xfId="0" applyFont="1" applyFill="1" applyBorder="1"/>
    <xf numFmtId="2" fontId="8" fillId="0" borderId="5" xfId="0" applyNumberFormat="1" applyFont="1" applyFill="1" applyBorder="1"/>
    <xf numFmtId="1" fontId="8" fillId="0" borderId="5" xfId="0" applyNumberFormat="1" applyFont="1" applyFill="1" applyBorder="1"/>
    <xf numFmtId="0" fontId="10" fillId="0" borderId="0" xfId="0" applyFont="1" applyAlignment="1">
      <alignment vertical="center" wrapText="1"/>
    </xf>
    <xf numFmtId="2" fontId="1" fillId="0" borderId="6" xfId="0" applyNumberFormat="1" applyFont="1" applyFill="1" applyBorder="1"/>
    <xf numFmtId="2" fontId="8" fillId="0" borderId="1" xfId="0" applyNumberFormat="1" applyFont="1" applyFill="1" applyBorder="1"/>
    <xf numFmtId="1" fontId="8" fillId="0" borderId="1" xfId="0" applyNumberFormat="1" applyFont="1" applyFill="1" applyBorder="1"/>
    <xf numFmtId="0" fontId="4" fillId="0" borderId="0" xfId="0" applyFont="1" applyFill="1" applyBorder="1" applyAlignment="1">
      <alignment wrapText="1"/>
    </xf>
    <xf numFmtId="1" fontId="13" fillId="0" borderId="5" xfId="0" applyNumberFormat="1" applyFont="1" applyFill="1" applyBorder="1"/>
    <xf numFmtId="2" fontId="8" fillId="0" borderId="8" xfId="0" applyNumberFormat="1" applyFont="1" applyFill="1" applyBorder="1"/>
    <xf numFmtId="1" fontId="12" fillId="0" borderId="0" xfId="0" applyNumberFormat="1" applyFont="1" applyBorder="1" applyAlignment="1">
      <alignment horizontal="left"/>
    </xf>
    <xf numFmtId="0" fontId="2" fillId="0" borderId="9" xfId="0" applyFont="1" applyFill="1" applyBorder="1"/>
    <xf numFmtId="0" fontId="13" fillId="0" borderId="5" xfId="0" applyFont="1" applyFill="1" applyBorder="1"/>
    <xf numFmtId="1" fontId="15" fillId="0" borderId="5" xfId="0" applyNumberFormat="1" applyFont="1" applyFill="1" applyBorder="1"/>
    <xf numFmtId="0" fontId="1" fillId="0" borderId="0" xfId="0" applyFont="1" applyFill="1" applyBorder="1"/>
    <xf numFmtId="0" fontId="0" fillId="0" borderId="0" xfId="0" applyFill="1" applyBorder="1"/>
    <xf numFmtId="2" fontId="9" fillId="0" borderId="0" xfId="0" applyNumberFormat="1" applyFont="1" applyFill="1" applyBorder="1" applyAlignment="1">
      <alignment horizontal="right" wrapText="1"/>
    </xf>
    <xf numFmtId="2" fontId="8" fillId="0" borderId="0" xfId="0" applyNumberFormat="1" applyFont="1" applyFill="1" applyBorder="1"/>
    <xf numFmtId="0" fontId="2" fillId="0" borderId="6" xfId="0" applyFont="1" applyFill="1" applyBorder="1"/>
    <xf numFmtId="0" fontId="8" fillId="0" borderId="8" xfId="0" applyFont="1" applyFill="1" applyBorder="1"/>
    <xf numFmtId="0" fontId="17" fillId="0" borderId="0" xfId="0" applyFont="1" applyBorder="1"/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2" fontId="14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1" fontId="14" fillId="0" borderId="4" xfId="0" applyNumberFormat="1" applyFont="1" applyFill="1" applyBorder="1" applyAlignment="1">
      <alignment vertical="center" wrapText="1"/>
    </xf>
    <xf numFmtId="2" fontId="14" fillId="0" borderId="4" xfId="0" applyNumberFormat="1" applyFont="1" applyFill="1" applyBorder="1" applyAlignment="1">
      <alignment vertical="center" wrapText="1"/>
    </xf>
    <xf numFmtId="2" fontId="14" fillId="0" borderId="4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/>
    <xf numFmtId="0" fontId="18" fillId="0" borderId="6" xfId="0" applyFont="1" applyFill="1" applyBorder="1" applyAlignment="1">
      <alignment horizontal="right" wrapText="1"/>
    </xf>
    <xf numFmtId="0" fontId="20" fillId="0" borderId="1" xfId="0" applyFont="1" applyBorder="1" applyAlignment="1">
      <alignment wrapText="1"/>
    </xf>
    <xf numFmtId="0" fontId="20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right" wrapText="1"/>
    </xf>
    <xf numFmtId="2" fontId="9" fillId="0" borderId="1" xfId="0" applyNumberFormat="1" applyFont="1" applyFill="1" applyBorder="1" applyAlignment="1">
      <alignment horizontal="right" wrapText="1"/>
    </xf>
    <xf numFmtId="2" fontId="1" fillId="0" borderId="1" xfId="0" applyNumberFormat="1" applyFont="1" applyFill="1" applyBorder="1"/>
    <xf numFmtId="2" fontId="6" fillId="0" borderId="1" xfId="0" applyNumberFormat="1" applyFont="1" applyFill="1" applyBorder="1"/>
    <xf numFmtId="2" fontId="4" fillId="0" borderId="1" xfId="0" applyNumberFormat="1" applyFont="1" applyFill="1" applyBorder="1" applyAlignment="1">
      <alignment wrapText="1"/>
    </xf>
    <xf numFmtId="2" fontId="21" fillId="0" borderId="4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textRotation="90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3" fillId="0" borderId="0" xfId="0" applyFont="1" applyFill="1" applyBorder="1"/>
    <xf numFmtId="2" fontId="8" fillId="0" borderId="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/>
    <xf numFmtId="1" fontId="15" fillId="0" borderId="0" xfId="0" applyNumberFormat="1" applyFont="1" applyFill="1" applyBorder="1"/>
    <xf numFmtId="1" fontId="1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wrapText="1"/>
    </xf>
    <xf numFmtId="2" fontId="4" fillId="0" borderId="0" xfId="0" applyNumberFormat="1" applyFont="1" applyFill="1" applyBorder="1" applyAlignment="1">
      <alignment wrapText="1"/>
    </xf>
    <xf numFmtId="2" fontId="4" fillId="0" borderId="0" xfId="0" applyNumberFormat="1" applyFont="1" applyFill="1" applyBorder="1" applyAlignment="1">
      <alignment horizontal="right" wrapText="1"/>
    </xf>
    <xf numFmtId="2" fontId="8" fillId="0" borderId="0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4" fillId="0" borderId="0" xfId="0" applyFont="1" applyFill="1" applyBorder="1"/>
    <xf numFmtId="2" fontId="10" fillId="0" borderId="0" xfId="0" applyNumberFormat="1" applyFont="1" applyFill="1" applyBorder="1"/>
    <xf numFmtId="0" fontId="16" fillId="0" borderId="0" xfId="0" applyFont="1" applyFill="1" applyBorder="1"/>
    <xf numFmtId="1" fontId="2" fillId="0" borderId="0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 wrapText="1"/>
    </xf>
    <xf numFmtId="2" fontId="6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right" wrapText="1"/>
    </xf>
    <xf numFmtId="0" fontId="21" fillId="0" borderId="0" xfId="0" applyFont="1"/>
    <xf numFmtId="0" fontId="22" fillId="0" borderId="1" xfId="0" applyFont="1" applyFill="1" applyBorder="1"/>
    <xf numFmtId="1" fontId="23" fillId="0" borderId="1" xfId="0" applyNumberFormat="1" applyFont="1" applyFill="1" applyBorder="1"/>
    <xf numFmtId="0" fontId="18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2" fontId="9" fillId="0" borderId="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" fontId="10" fillId="0" borderId="0" xfId="0" applyNumberFormat="1" applyFont="1" applyFill="1" applyBorder="1"/>
    <xf numFmtId="2" fontId="1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2" fontId="6" fillId="0" borderId="0" xfId="0" applyNumberFormat="1" applyFont="1" applyFill="1" applyBorder="1"/>
    <xf numFmtId="0" fontId="9" fillId="0" borderId="0" xfId="0" applyFont="1" applyFill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0" fillId="0" borderId="20" xfId="0" applyNumberForma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2" fontId="9" fillId="0" borderId="13" xfId="0" applyNumberFormat="1" applyFont="1" applyFill="1" applyBorder="1" applyAlignment="1">
      <alignment horizontal="right" wrapText="1"/>
    </xf>
    <xf numFmtId="2" fontId="6" fillId="0" borderId="13" xfId="0" applyNumberFormat="1" applyFont="1" applyFill="1" applyBorder="1" applyAlignment="1">
      <alignment horizontal="right" wrapText="1"/>
    </xf>
    <xf numFmtId="2" fontId="1" fillId="0" borderId="13" xfId="0" applyNumberFormat="1" applyFont="1" applyFill="1" applyBorder="1" applyAlignment="1">
      <alignment horizontal="right" wrapText="1"/>
    </xf>
    <xf numFmtId="2" fontId="6" fillId="0" borderId="13" xfId="0" applyNumberFormat="1" applyFont="1" applyFill="1" applyBorder="1"/>
    <xf numFmtId="2" fontId="4" fillId="0" borderId="13" xfId="0" applyNumberFormat="1" applyFont="1" applyFill="1" applyBorder="1" applyAlignment="1">
      <alignment wrapText="1"/>
    </xf>
    <xf numFmtId="2" fontId="1" fillId="0" borderId="15" xfId="0" applyNumberFormat="1" applyFont="1" applyFill="1" applyBorder="1"/>
    <xf numFmtId="0" fontId="2" fillId="0" borderId="1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2" fontId="10" fillId="0" borderId="1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" fontId="22" fillId="0" borderId="1" xfId="0" applyNumberFormat="1" applyFont="1" applyFill="1" applyBorder="1" applyAlignment="1">
      <alignment horizontal="right" wrapText="1"/>
    </xf>
    <xf numFmtId="1" fontId="0" fillId="0" borderId="0" xfId="0" applyNumberForma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2" fontId="24" fillId="0" borderId="0" xfId="0" applyNumberFormat="1" applyFont="1" applyFill="1" applyBorder="1" applyAlignment="1">
      <alignment horizontal="center" vertical="center" wrapText="1"/>
    </xf>
    <xf numFmtId="2" fontId="24" fillId="0" borderId="0" xfId="0" applyNumberFormat="1" applyFont="1" applyFill="1" applyBorder="1"/>
    <xf numFmtId="2" fontId="6" fillId="0" borderId="6" xfId="0" applyNumberFormat="1" applyFont="1" applyFill="1" applyBorder="1"/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2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2" fillId="0" borderId="1" xfId="0" applyFont="1" applyFill="1" applyBorder="1" applyAlignment="1">
      <alignment horizontal="center" vertical="center" textRotation="90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right"/>
    </xf>
    <xf numFmtId="2" fontId="1" fillId="0" borderId="6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/>
    </xf>
    <xf numFmtId="0" fontId="18" fillId="0" borderId="7" xfId="0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right" wrapText="1"/>
    </xf>
    <xf numFmtId="0" fontId="18" fillId="0" borderId="15" xfId="0" applyFont="1" applyFill="1" applyBorder="1" applyAlignment="1">
      <alignment horizontal="right" wrapText="1"/>
    </xf>
    <xf numFmtId="0" fontId="4" fillId="0" borderId="13" xfId="0" applyFont="1" applyFill="1" applyBorder="1" applyAlignment="1">
      <alignment horizontal="right" wrapText="1"/>
    </xf>
    <xf numFmtId="0" fontId="7" fillId="0" borderId="13" xfId="0" applyFont="1" applyFill="1" applyBorder="1" applyAlignment="1">
      <alignment horizontal="right"/>
    </xf>
    <xf numFmtId="10" fontId="17" fillId="0" borderId="1" xfId="0" applyNumberFormat="1" applyFont="1" applyFill="1" applyBorder="1" applyAlignment="1">
      <alignment horizontal="center" vertical="center" wrapText="1"/>
    </xf>
    <xf numFmtId="9" fontId="21" fillId="0" borderId="13" xfId="0" applyNumberFormat="1" applyFont="1" applyFill="1" applyBorder="1" applyAlignment="1">
      <alignment horizontal="center" vertical="center" wrapText="1"/>
    </xf>
    <xf numFmtId="9" fontId="17" fillId="0" borderId="1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21" fillId="0" borderId="14" xfId="0" applyNumberFormat="1" applyFont="1" applyFill="1" applyBorder="1" applyAlignment="1">
      <alignment horizontal="center" vertical="center" wrapText="1"/>
    </xf>
    <xf numFmtId="9" fontId="17" fillId="0" borderId="1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9" fontId="21" fillId="0" borderId="4" xfId="0" applyNumberFormat="1" applyFont="1" applyFill="1" applyBorder="1" applyAlignment="1">
      <alignment horizontal="center" vertical="center" wrapText="1"/>
    </xf>
    <xf numFmtId="9" fontId="17" fillId="0" borderId="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22" fillId="0" borderId="4" xfId="0" applyFont="1" applyFill="1" applyBorder="1" applyAlignment="1">
      <alignment horizontal="center" vertical="center" textRotation="90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2" fontId="19" fillId="0" borderId="1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right" wrapText="1"/>
    </xf>
    <xf numFmtId="0" fontId="0" fillId="0" borderId="16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6" fillId="0" borderId="13" xfId="0" applyFont="1" applyFill="1" applyBorder="1" applyAlignment="1">
      <alignment horizontal="center" vertical="center" textRotation="90" wrapText="1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4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4" xfId="0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/>
    <xf numFmtId="1" fontId="7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6" fillId="0" borderId="3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2" fontId="8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vertical="center" wrapText="1"/>
    </xf>
    <xf numFmtId="1" fontId="14" fillId="0" borderId="6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6" fillId="0" borderId="3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 wrapText="1"/>
    </xf>
    <xf numFmtId="1" fontId="9" fillId="0" borderId="6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right" wrapText="1"/>
    </xf>
    <xf numFmtId="0" fontId="2" fillId="0" borderId="15" xfId="0" applyFont="1" applyFill="1" applyBorder="1"/>
    <xf numFmtId="1" fontId="2" fillId="0" borderId="13" xfId="0" applyNumberFormat="1" applyFont="1" applyFill="1" applyBorder="1"/>
    <xf numFmtId="1" fontId="7" fillId="0" borderId="13" xfId="0" applyNumberFormat="1" applyFont="1" applyFill="1" applyBorder="1" applyAlignment="1">
      <alignment horizontal="right" wrapText="1"/>
    </xf>
    <xf numFmtId="2" fontId="6" fillId="0" borderId="18" xfId="0" applyNumberFormat="1" applyFont="1" applyFill="1" applyBorder="1" applyAlignment="1">
      <alignment horizontal="right"/>
    </xf>
    <xf numFmtId="0" fontId="4" fillId="0" borderId="15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2" fontId="9" fillId="0" borderId="15" xfId="0" applyNumberFormat="1" applyFont="1" applyFill="1" applyBorder="1" applyAlignment="1">
      <alignment horizontal="right" wrapText="1"/>
    </xf>
    <xf numFmtId="1" fontId="8" fillId="0" borderId="8" xfId="0" applyNumberFormat="1" applyFont="1" applyFill="1" applyBorder="1"/>
    <xf numFmtId="0" fontId="10" fillId="0" borderId="0" xfId="0" applyFont="1" applyFill="1" applyAlignment="1">
      <alignment vertical="center" wrapText="1"/>
    </xf>
    <xf numFmtId="0" fontId="24" fillId="0" borderId="0" xfId="0" applyFont="1" applyFill="1" applyBorder="1" applyAlignment="1">
      <alignment horizontal="left"/>
    </xf>
    <xf numFmtId="0" fontId="24" fillId="0" borderId="0" xfId="0" applyFont="1" applyFill="1" applyBorder="1"/>
    <xf numFmtId="2" fontId="24" fillId="0" borderId="0" xfId="0" applyNumberFormat="1" applyFont="1" applyFill="1" applyBorder="1" applyAlignment="1">
      <alignment horizontal="center"/>
    </xf>
    <xf numFmtId="1" fontId="24" fillId="0" borderId="0" xfId="0" applyNumberFormat="1" applyFont="1" applyFill="1" applyBorder="1"/>
    <xf numFmtId="0" fontId="24" fillId="0" borderId="0" xfId="0" applyFont="1" applyFill="1"/>
    <xf numFmtId="2" fontId="24" fillId="0" borderId="0" xfId="0" applyNumberFormat="1" applyFont="1" applyFill="1" applyBorder="1" applyAlignment="1">
      <alignment horizontal="center" vertical="center"/>
    </xf>
    <xf numFmtId="1" fontId="25" fillId="0" borderId="0" xfId="0" applyNumberFormat="1" applyFont="1" applyFill="1" applyBorder="1" applyAlignment="1">
      <alignment vertical="center" wrapText="1"/>
    </xf>
    <xf numFmtId="2" fontId="24" fillId="2" borderId="0" xfId="0" applyNumberFormat="1" applyFont="1" applyFill="1" applyBorder="1"/>
    <xf numFmtId="1" fontId="24" fillId="2" borderId="0" xfId="0" applyNumberFormat="1" applyFont="1" applyFill="1" applyBorder="1"/>
    <xf numFmtId="0" fontId="26" fillId="0" borderId="0" xfId="0" applyFont="1"/>
    <xf numFmtId="0" fontId="26" fillId="0" borderId="0" xfId="0" applyFont="1" applyAlignment="1">
      <alignment horizontal="center" wrapText="1"/>
    </xf>
    <xf numFmtId="2" fontId="27" fillId="0" borderId="0" xfId="0" applyNumberFormat="1" applyFont="1"/>
    <xf numFmtId="2" fontId="26" fillId="0" borderId="0" xfId="0" applyNumberFormat="1" applyFont="1"/>
    <xf numFmtId="0" fontId="26" fillId="0" borderId="0" xfId="0" applyFont="1" applyFill="1"/>
    <xf numFmtId="1" fontId="26" fillId="0" borderId="0" xfId="0" applyNumberFormat="1" applyFont="1"/>
    <xf numFmtId="0" fontId="28" fillId="0" borderId="0" xfId="0" applyFont="1" applyAlignment="1">
      <alignment vertical="center" wrapText="1"/>
    </xf>
    <xf numFmtId="2" fontId="28" fillId="0" borderId="0" xfId="0" applyNumberFormat="1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0" borderId="0" xfId="0" applyFont="1" applyBorder="1" applyAlignment="1">
      <alignment horizontal="left"/>
    </xf>
    <xf numFmtId="2" fontId="26" fillId="0" borderId="0" xfId="0" applyNumberFormat="1" applyFont="1" applyFill="1" applyBorder="1"/>
    <xf numFmtId="0" fontId="26" fillId="0" borderId="0" xfId="0" applyFont="1" applyBorder="1" applyAlignment="1"/>
    <xf numFmtId="0" fontId="28" fillId="0" borderId="0" xfId="0" applyFont="1" applyBorder="1" applyAlignment="1">
      <alignment vertical="center" wrapText="1"/>
    </xf>
    <xf numFmtId="2" fontId="28" fillId="0" borderId="0" xfId="0" applyNumberFormat="1" applyFont="1" applyFill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center" vertical="center" wrapText="1"/>
    </xf>
    <xf numFmtId="2" fontId="27" fillId="0" borderId="0" xfId="0" applyNumberFormat="1" applyFont="1" applyBorder="1" applyAlignment="1">
      <alignment horizontal="right" vertical="center" wrapText="1"/>
    </xf>
  </cellXfs>
  <cellStyles count="1">
    <cellStyle name="Нормален" xfId="0" builtinId="0"/>
  </cellStyles>
  <dxfs count="1">
    <dxf>
      <fill>
        <patternFill patternType="none">
          <fgColor rgb="FF000000"/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1"/>
  <sheetViews>
    <sheetView tabSelected="1" showWhiteSpace="0" topLeftCell="A5" workbookViewId="0">
      <selection activeCell="CD26" sqref="CD26"/>
    </sheetView>
  </sheetViews>
  <sheetFormatPr defaultRowHeight="12.75" x14ac:dyDescent="0.2"/>
  <cols>
    <col min="1" max="1" width="2.7109375" customWidth="1"/>
    <col min="2" max="2" width="23.42578125" customWidth="1"/>
    <col min="3" max="3" width="6.28515625" customWidth="1"/>
    <col min="4" max="4" width="9.28515625" customWidth="1"/>
    <col min="5" max="5" width="9.5703125" customWidth="1"/>
    <col min="6" max="6" width="5" customWidth="1"/>
    <col min="7" max="7" width="4.28515625" customWidth="1"/>
    <col min="8" max="8" width="4.42578125" customWidth="1"/>
    <col min="9" max="9" width="4" customWidth="1"/>
    <col min="10" max="10" width="10.140625" customWidth="1"/>
    <col min="11" max="11" width="7.5703125" customWidth="1"/>
    <col min="12" max="12" width="8.5703125" customWidth="1"/>
    <col min="13" max="13" width="10.7109375" customWidth="1"/>
    <col min="14" max="14" width="10.28515625" customWidth="1"/>
    <col min="15" max="16" width="5.28515625" customWidth="1"/>
    <col min="17" max="17" width="5" customWidth="1"/>
    <col min="18" max="18" width="4.42578125" customWidth="1"/>
    <col min="19" max="19" width="12.140625" customWidth="1"/>
    <col min="20" max="20" width="9.42578125" customWidth="1"/>
    <col min="21" max="21" width="8.28515625" customWidth="1"/>
    <col min="22" max="23" width="11" customWidth="1"/>
    <col min="24" max="24" width="8.7109375" hidden="1" customWidth="1"/>
    <col min="25" max="25" width="6.28515625" hidden="1" customWidth="1"/>
    <col min="26" max="26" width="11.28515625" hidden="1" customWidth="1"/>
    <col min="27" max="27" width="8.28515625" hidden="1" customWidth="1"/>
    <col min="28" max="28" width="8.140625" hidden="1" customWidth="1"/>
    <col min="29" max="29" width="5.7109375" hidden="1" customWidth="1"/>
    <col min="30" max="30" width="10.7109375" hidden="1" customWidth="1"/>
    <col min="31" max="31" width="10.140625" customWidth="1"/>
    <col min="32" max="32" width="11.5703125" customWidth="1"/>
    <col min="33" max="33" width="9.7109375" customWidth="1"/>
    <col min="34" max="34" width="12" customWidth="1"/>
    <col min="35" max="35" width="10.7109375" customWidth="1"/>
    <col min="36" max="36" width="11.7109375" customWidth="1"/>
    <col min="37" max="37" width="8.7109375" hidden="1" customWidth="1"/>
    <col min="38" max="38" width="3.5703125" customWidth="1"/>
    <col min="39" max="39" width="4.140625" customWidth="1"/>
    <col min="40" max="40" width="3" customWidth="1"/>
    <col min="41" max="41" width="8.28515625" customWidth="1"/>
    <col min="42" max="42" width="8.85546875" customWidth="1"/>
    <col min="43" max="43" width="6.7109375" customWidth="1"/>
    <col min="44" max="44" width="7.140625" customWidth="1"/>
    <col min="45" max="45" width="3.5703125" customWidth="1"/>
    <col min="46" max="46" width="0.140625" hidden="1" customWidth="1"/>
    <col min="47" max="48" width="3.140625" customWidth="1"/>
    <col min="49" max="49" width="8.7109375" style="1" customWidth="1"/>
    <col min="50" max="50" width="8.42578125" customWidth="1"/>
    <col min="51" max="51" width="6.140625" customWidth="1"/>
    <col min="52" max="52" width="6.28515625" hidden="1" customWidth="1"/>
    <col min="53" max="53" width="8" hidden="1" customWidth="1"/>
    <col min="54" max="54" width="8.7109375" customWidth="1"/>
    <col min="55" max="55" width="4.7109375" customWidth="1"/>
    <col min="56" max="56" width="4.7109375" hidden="1" customWidth="1"/>
    <col min="57" max="58" width="4.7109375" customWidth="1"/>
    <col min="59" max="59" width="5.5703125" customWidth="1"/>
    <col min="60" max="60" width="8.28515625" customWidth="1"/>
    <col min="61" max="61" width="8.140625" customWidth="1"/>
    <col min="62" max="62" width="6.28515625" customWidth="1"/>
    <col min="63" max="63" width="6.42578125" customWidth="1"/>
    <col min="64" max="64" width="5.7109375" customWidth="1"/>
    <col min="65" max="66" width="3.85546875" customWidth="1"/>
    <col min="67" max="67" width="3.5703125" customWidth="1"/>
    <col min="68" max="70" width="5" hidden="1" customWidth="1"/>
    <col min="71" max="72" width="8.85546875" customWidth="1"/>
    <col min="73" max="73" width="8.42578125" customWidth="1"/>
    <col min="74" max="74" width="11.28515625" customWidth="1"/>
    <col min="75" max="75" width="9.28515625" customWidth="1"/>
    <col min="76" max="76" width="10.42578125" hidden="1" customWidth="1"/>
    <col min="77" max="77" width="0.140625" hidden="1" customWidth="1"/>
    <col min="78" max="78" width="8.42578125" hidden="1" customWidth="1"/>
    <col min="79" max="79" width="9" hidden="1" customWidth="1"/>
    <col min="80" max="81" width="9" customWidth="1"/>
    <col min="82" max="82" width="11.42578125" customWidth="1"/>
    <col min="84" max="84" width="8.42578125" customWidth="1"/>
  </cols>
  <sheetData>
    <row r="1" spans="1:85" ht="15" customHeight="1" x14ac:dyDescent="0.2">
      <c r="B1" s="149" t="s">
        <v>32</v>
      </c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85" s="4" customFormat="1" ht="15" customHeight="1" x14ac:dyDescent="0.2">
      <c r="B2" s="31" t="s">
        <v>71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21"/>
      <c r="AF2" s="21"/>
      <c r="AG2" s="21"/>
      <c r="AH2" s="21"/>
      <c r="AI2" s="21"/>
      <c r="AJ2" s="21"/>
      <c r="AW2" s="5"/>
    </row>
    <row r="3" spans="1:85" s="4" customFormat="1" ht="15" customHeight="1" x14ac:dyDescent="0.2">
      <c r="B3" s="31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21"/>
      <c r="AF3" s="21"/>
      <c r="AG3" s="21"/>
      <c r="AH3" s="21"/>
      <c r="AI3" s="21"/>
      <c r="AJ3" s="21"/>
      <c r="AW3" s="5"/>
    </row>
    <row r="4" spans="1:85" s="14" customFormat="1" ht="24.75" customHeight="1" x14ac:dyDescent="0.2">
      <c r="A4" s="140"/>
      <c r="B4" s="141" t="s">
        <v>0</v>
      </c>
      <c r="C4" s="141" t="s">
        <v>5</v>
      </c>
      <c r="D4" s="150" t="s">
        <v>41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2"/>
      <c r="X4" s="150" t="s">
        <v>46</v>
      </c>
      <c r="Y4" s="151"/>
      <c r="Z4" s="151"/>
      <c r="AA4" s="151"/>
      <c r="AB4" s="151"/>
      <c r="AC4" s="151"/>
      <c r="AD4" s="151"/>
      <c r="AE4" s="152"/>
      <c r="AF4" s="176">
        <v>0.99</v>
      </c>
      <c r="AG4" s="176">
        <v>0.01</v>
      </c>
      <c r="AH4" s="177" t="s">
        <v>51</v>
      </c>
      <c r="AI4" s="177" t="s">
        <v>52</v>
      </c>
      <c r="AJ4" s="178" t="s">
        <v>53</v>
      </c>
      <c r="AK4" s="179"/>
      <c r="AL4" s="154" t="s">
        <v>16</v>
      </c>
      <c r="AM4" s="146"/>
      <c r="AN4" s="146"/>
      <c r="AO4" s="146"/>
      <c r="AP4" s="146"/>
      <c r="AQ4" s="146"/>
      <c r="AR4" s="147"/>
      <c r="AS4" s="154" t="s">
        <v>9</v>
      </c>
      <c r="AT4" s="146"/>
      <c r="AU4" s="146"/>
      <c r="AV4" s="146"/>
      <c r="AW4" s="146"/>
      <c r="AX4" s="146"/>
      <c r="AY4" s="146"/>
      <c r="AZ4" s="146"/>
      <c r="BA4" s="194"/>
      <c r="BB4" s="195"/>
      <c r="BC4" s="146" t="s">
        <v>70</v>
      </c>
      <c r="BD4" s="146"/>
      <c r="BE4" s="146"/>
      <c r="BF4" s="146"/>
      <c r="BG4" s="146"/>
      <c r="BH4" s="146"/>
      <c r="BI4" s="146"/>
      <c r="BJ4" s="146"/>
      <c r="BK4" s="147"/>
      <c r="BL4" s="154" t="s">
        <v>15</v>
      </c>
      <c r="BM4" s="196"/>
      <c r="BN4" s="196"/>
      <c r="BO4" s="196"/>
      <c r="BP4" s="196"/>
      <c r="BQ4" s="196"/>
      <c r="BR4" s="196"/>
      <c r="BS4" s="196"/>
      <c r="BT4" s="196"/>
      <c r="BU4" s="196"/>
      <c r="BV4" s="197"/>
      <c r="BW4" s="138" t="s">
        <v>11</v>
      </c>
      <c r="BX4" s="182" t="s">
        <v>19</v>
      </c>
      <c r="BY4" s="182" t="s">
        <v>10</v>
      </c>
      <c r="BZ4" s="196"/>
      <c r="CA4" s="197"/>
      <c r="CB4" s="198"/>
      <c r="CC4" s="198"/>
      <c r="CD4" s="182" t="s">
        <v>23</v>
      </c>
      <c r="CE4" s="242"/>
    </row>
    <row r="5" spans="1:85" s="2" customFormat="1" ht="44.25" customHeight="1" x14ac:dyDescent="0.2">
      <c r="A5" s="140"/>
      <c r="B5" s="142"/>
      <c r="C5" s="142"/>
      <c r="D5" s="144" t="s">
        <v>42</v>
      </c>
      <c r="E5" s="135" t="s">
        <v>40</v>
      </c>
      <c r="F5" s="155" t="s">
        <v>39</v>
      </c>
      <c r="G5" s="156"/>
      <c r="H5" s="156"/>
      <c r="I5" s="157"/>
      <c r="J5" s="110" t="s">
        <v>44</v>
      </c>
      <c r="K5" s="144" t="s">
        <v>30</v>
      </c>
      <c r="L5" s="138" t="s">
        <v>7</v>
      </c>
      <c r="M5" s="144" t="s">
        <v>59</v>
      </c>
      <c r="N5" s="135" t="s">
        <v>28</v>
      </c>
      <c r="O5" s="158" t="s">
        <v>6</v>
      </c>
      <c r="P5" s="159"/>
      <c r="Q5" s="159"/>
      <c r="R5" s="160"/>
      <c r="S5" s="135" t="s">
        <v>43</v>
      </c>
      <c r="T5" s="144" t="s">
        <v>30</v>
      </c>
      <c r="U5" s="138" t="s">
        <v>7</v>
      </c>
      <c r="V5" s="144" t="s">
        <v>59</v>
      </c>
      <c r="W5" s="135" t="s">
        <v>45</v>
      </c>
      <c r="X5" s="144"/>
      <c r="Y5" s="144" t="s">
        <v>73</v>
      </c>
      <c r="Z5" s="144" t="s">
        <v>76</v>
      </c>
      <c r="AA5" s="144"/>
      <c r="AB5" s="144" t="s">
        <v>55</v>
      </c>
      <c r="AC5" s="144" t="s">
        <v>74</v>
      </c>
      <c r="AD5" s="144" t="s">
        <v>75</v>
      </c>
      <c r="AE5" s="144" t="s">
        <v>78</v>
      </c>
      <c r="AF5" s="144" t="s">
        <v>49</v>
      </c>
      <c r="AG5" s="144" t="s">
        <v>50</v>
      </c>
      <c r="AH5" s="180"/>
      <c r="AI5" s="180"/>
      <c r="AJ5" s="181"/>
      <c r="AK5" s="182" t="s">
        <v>7</v>
      </c>
      <c r="AL5" s="183" t="s">
        <v>1</v>
      </c>
      <c r="AM5" s="184"/>
      <c r="AN5" s="185"/>
      <c r="AO5" s="132" t="s">
        <v>25</v>
      </c>
      <c r="AP5" s="138" t="s">
        <v>21</v>
      </c>
      <c r="AQ5" s="144" t="s">
        <v>30</v>
      </c>
      <c r="AR5" s="138" t="s">
        <v>7</v>
      </c>
      <c r="AS5" s="199" t="s">
        <v>1</v>
      </c>
      <c r="AT5" s="200"/>
      <c r="AU5" s="201"/>
      <c r="AV5" s="202" t="s">
        <v>17</v>
      </c>
      <c r="AW5" s="133" t="s">
        <v>26</v>
      </c>
      <c r="AX5" s="153" t="s">
        <v>20</v>
      </c>
      <c r="AY5" s="144" t="s">
        <v>30</v>
      </c>
      <c r="AZ5" s="203" t="s">
        <v>7</v>
      </c>
      <c r="BA5" s="204"/>
      <c r="BB5" s="153" t="s">
        <v>7</v>
      </c>
      <c r="BC5" s="205" t="s">
        <v>1</v>
      </c>
      <c r="BD5" s="206"/>
      <c r="BE5" s="206"/>
      <c r="BF5" s="196"/>
      <c r="BG5" s="197"/>
      <c r="BH5" s="132" t="s">
        <v>26</v>
      </c>
      <c r="BI5" s="138" t="s">
        <v>21</v>
      </c>
      <c r="BJ5" s="144" t="s">
        <v>30</v>
      </c>
      <c r="BK5" s="138" t="s">
        <v>7</v>
      </c>
      <c r="BL5" s="207" t="s">
        <v>72</v>
      </c>
      <c r="BM5" s="208" t="s">
        <v>24</v>
      </c>
      <c r="BN5" s="208" t="s">
        <v>56</v>
      </c>
      <c r="BO5" s="208" t="s">
        <v>17</v>
      </c>
      <c r="BP5" s="207" t="s">
        <v>27</v>
      </c>
      <c r="BQ5" s="209" t="s">
        <v>24</v>
      </c>
      <c r="BR5" s="208" t="s">
        <v>17</v>
      </c>
      <c r="BS5" s="138" t="s">
        <v>26</v>
      </c>
      <c r="BT5" s="144" t="s">
        <v>20</v>
      </c>
      <c r="BU5" s="144" t="s">
        <v>30</v>
      </c>
      <c r="BV5" s="153" t="s">
        <v>7</v>
      </c>
      <c r="BW5" s="210"/>
      <c r="BX5" s="211"/>
      <c r="BY5" s="212"/>
      <c r="BZ5" s="144" t="s">
        <v>30</v>
      </c>
      <c r="CA5" s="153" t="s">
        <v>7</v>
      </c>
      <c r="CB5" s="144" t="s">
        <v>30</v>
      </c>
      <c r="CC5" s="153" t="s">
        <v>7</v>
      </c>
      <c r="CD5" s="212"/>
      <c r="CE5" s="204"/>
    </row>
    <row r="6" spans="1:85" s="3" customFormat="1" ht="70.5" customHeight="1" x14ac:dyDescent="0.2">
      <c r="A6" s="140"/>
      <c r="B6" s="143"/>
      <c r="C6" s="143"/>
      <c r="D6" s="145"/>
      <c r="E6" s="161">
        <v>0.99</v>
      </c>
      <c r="F6" s="162" t="s">
        <v>57</v>
      </c>
      <c r="G6" s="162" t="s">
        <v>29</v>
      </c>
      <c r="H6" s="163" t="s">
        <v>56</v>
      </c>
      <c r="I6" s="164" t="s">
        <v>58</v>
      </c>
      <c r="J6" s="109">
        <v>17480</v>
      </c>
      <c r="K6" s="145"/>
      <c r="L6" s="139"/>
      <c r="M6" s="145"/>
      <c r="N6" s="165" t="s">
        <v>77</v>
      </c>
      <c r="O6" s="163" t="s">
        <v>22</v>
      </c>
      <c r="P6" s="163" t="s">
        <v>31</v>
      </c>
      <c r="Q6" s="163" t="s">
        <v>56</v>
      </c>
      <c r="R6" s="164" t="s">
        <v>69</v>
      </c>
      <c r="S6" s="57">
        <v>3446</v>
      </c>
      <c r="T6" s="145"/>
      <c r="U6" s="139"/>
      <c r="V6" s="145"/>
      <c r="W6" s="165" t="s">
        <v>77</v>
      </c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86"/>
      <c r="AI6" s="186"/>
      <c r="AJ6" s="187"/>
      <c r="AK6" s="182"/>
      <c r="AL6" s="188" t="s">
        <v>31</v>
      </c>
      <c r="AM6" s="163" t="s">
        <v>24</v>
      </c>
      <c r="AN6" s="162" t="s">
        <v>17</v>
      </c>
      <c r="AO6" s="57">
        <v>2857</v>
      </c>
      <c r="AP6" s="139"/>
      <c r="AQ6" s="139"/>
      <c r="AR6" s="139"/>
      <c r="AS6" s="162" t="s">
        <v>31</v>
      </c>
      <c r="AT6" s="37" t="s">
        <v>14</v>
      </c>
      <c r="AU6" s="213" t="s">
        <v>24</v>
      </c>
      <c r="AV6" s="214"/>
      <c r="AW6" s="57">
        <v>9811</v>
      </c>
      <c r="AX6" s="139"/>
      <c r="AY6" s="139"/>
      <c r="AZ6" s="215"/>
      <c r="BA6" s="216"/>
      <c r="BB6" s="139"/>
      <c r="BC6" s="213" t="s">
        <v>24</v>
      </c>
      <c r="BD6" s="37" t="s">
        <v>13</v>
      </c>
      <c r="BE6" s="162" t="s">
        <v>31</v>
      </c>
      <c r="BF6" s="163" t="s">
        <v>56</v>
      </c>
      <c r="BG6" s="164" t="s">
        <v>68</v>
      </c>
      <c r="BH6" s="59">
        <v>35</v>
      </c>
      <c r="BI6" s="139"/>
      <c r="BJ6" s="139"/>
      <c r="BK6" s="139"/>
      <c r="BL6" s="44">
        <v>100</v>
      </c>
      <c r="BM6" s="217"/>
      <c r="BN6" s="217"/>
      <c r="BO6" s="217"/>
      <c r="BP6" s="44">
        <v>97</v>
      </c>
      <c r="BQ6" s="217"/>
      <c r="BR6" s="217"/>
      <c r="BS6" s="148"/>
      <c r="BT6" s="139"/>
      <c r="BU6" s="139"/>
      <c r="BV6" s="148"/>
      <c r="BW6" s="148"/>
      <c r="BX6" s="211"/>
      <c r="BY6" s="212"/>
      <c r="BZ6" s="139"/>
      <c r="CA6" s="148"/>
      <c r="CB6" s="139"/>
      <c r="CC6" s="148"/>
      <c r="CD6" s="212"/>
      <c r="CE6" s="216"/>
    </row>
    <row r="7" spans="1:85" s="3" customFormat="1" ht="19.5" customHeight="1" x14ac:dyDescent="0.2">
      <c r="A7" s="120"/>
      <c r="B7" s="105"/>
      <c r="C7" s="32"/>
      <c r="D7" s="134"/>
      <c r="E7" s="134"/>
      <c r="F7" s="134"/>
      <c r="G7" s="134"/>
      <c r="H7" s="134"/>
      <c r="I7" s="134"/>
      <c r="J7" s="134"/>
      <c r="K7" s="47"/>
      <c r="L7" s="134"/>
      <c r="M7" s="34"/>
      <c r="N7" s="108"/>
      <c r="O7" s="166"/>
      <c r="P7" s="166"/>
      <c r="Q7" s="134"/>
      <c r="R7" s="39"/>
      <c r="S7" s="34"/>
      <c r="T7" s="47"/>
      <c r="U7" s="134"/>
      <c r="V7" s="34"/>
      <c r="W7" s="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07"/>
      <c r="AL7" s="58"/>
      <c r="AM7" s="35"/>
      <c r="AN7" s="189"/>
      <c r="AO7" s="34"/>
      <c r="AP7" s="34"/>
      <c r="AQ7" s="134"/>
      <c r="AR7" s="134"/>
      <c r="AS7" s="40"/>
      <c r="AT7" s="37"/>
      <c r="AU7" s="38"/>
      <c r="AV7" s="39"/>
      <c r="AW7" s="41"/>
      <c r="AX7" s="42"/>
      <c r="AY7" s="134"/>
      <c r="AZ7" s="36"/>
      <c r="BA7" s="216"/>
      <c r="BB7" s="134"/>
      <c r="BC7" s="35"/>
      <c r="BD7" s="37"/>
      <c r="BE7" s="38"/>
      <c r="BF7" s="38"/>
      <c r="BG7" s="39"/>
      <c r="BH7" s="43"/>
      <c r="BI7" s="44"/>
      <c r="BJ7" s="134"/>
      <c r="BK7" s="134"/>
      <c r="BL7" s="136"/>
      <c r="BM7" s="45"/>
      <c r="BN7" s="45"/>
      <c r="BO7" s="45"/>
      <c r="BP7" s="45"/>
      <c r="BQ7" s="45"/>
      <c r="BR7" s="45"/>
      <c r="BS7" s="46"/>
      <c r="BT7" s="136"/>
      <c r="BU7" s="134"/>
      <c r="BV7" s="45"/>
      <c r="BW7" s="45"/>
      <c r="BX7" s="47"/>
      <c r="BY7" s="48"/>
      <c r="BZ7" s="48"/>
      <c r="CA7" s="48"/>
      <c r="CB7" s="134"/>
      <c r="CC7" s="45"/>
      <c r="CD7" s="48"/>
      <c r="CE7" s="216"/>
    </row>
    <row r="8" spans="1:85" ht="15" customHeight="1" x14ac:dyDescent="0.2">
      <c r="A8" s="121">
        <v>1</v>
      </c>
      <c r="B8" s="6" t="s">
        <v>61</v>
      </c>
      <c r="C8" s="50" t="s">
        <v>2</v>
      </c>
      <c r="D8" s="52">
        <v>82400</v>
      </c>
      <c r="E8" s="52">
        <f t="shared" ref="E8:E17" si="0">D8*99/100</f>
        <v>81576</v>
      </c>
      <c r="F8" s="111">
        <v>15</v>
      </c>
      <c r="G8" s="111">
        <v>15</v>
      </c>
      <c r="H8" s="111">
        <v>15</v>
      </c>
      <c r="I8" s="125">
        <f t="shared" ref="I8:I17" si="1">F8-G8</f>
        <v>0</v>
      </c>
      <c r="J8" s="52">
        <f>F8*J6</f>
        <v>262200</v>
      </c>
      <c r="K8" s="167">
        <f>I8*J6</f>
        <v>0</v>
      </c>
      <c r="L8" s="167">
        <v>0</v>
      </c>
      <c r="M8" s="53">
        <f>G8*J6</f>
        <v>262200</v>
      </c>
      <c r="N8" s="168">
        <f t="shared" ref="N8:N17" si="2">M8*99/100</f>
        <v>259578</v>
      </c>
      <c r="O8" s="49">
        <v>339</v>
      </c>
      <c r="P8" s="49">
        <v>337</v>
      </c>
      <c r="Q8" s="169">
        <v>337</v>
      </c>
      <c r="R8" s="170">
        <f t="shared" ref="R8:R16" si="3">P8-O8</f>
        <v>-2</v>
      </c>
      <c r="S8" s="53">
        <f>O8*S6</f>
        <v>1168194</v>
      </c>
      <c r="T8" s="167">
        <f>R8*-1*S6+234.33</f>
        <v>7126.33</v>
      </c>
      <c r="U8" s="167">
        <v>0</v>
      </c>
      <c r="V8" s="53">
        <f>P8*S6</f>
        <v>1161302</v>
      </c>
      <c r="W8" s="53">
        <f>P8*S6*99/100</f>
        <v>1149688.98</v>
      </c>
      <c r="X8" s="190"/>
      <c r="Y8" s="190"/>
      <c r="Z8" s="190"/>
      <c r="AA8" s="190"/>
      <c r="AB8" s="190"/>
      <c r="AC8" s="190"/>
      <c r="AD8" s="190"/>
      <c r="AE8" s="112">
        <f>S23*1/2664*P8</f>
        <v>15530.012492492426</v>
      </c>
      <c r="AF8" s="112">
        <f t="shared" ref="AF8:AF16" si="4">E8+N8+W8</f>
        <v>1490842.98</v>
      </c>
      <c r="AG8" s="112">
        <f t="shared" ref="AG8:AG17" si="5">X8+Y8+Z8+AA8+AB8+AC8+AD8</f>
        <v>0</v>
      </c>
      <c r="AH8" s="112">
        <f t="shared" ref="AH8:AH16" si="6">AF8+AG8</f>
        <v>1490842.98</v>
      </c>
      <c r="AI8" s="112">
        <f>AH8*0.034</f>
        <v>50688.661320000007</v>
      </c>
      <c r="AJ8" s="112">
        <f>AH8+AI8</f>
        <v>1541531.6413199999</v>
      </c>
      <c r="AK8" s="167" t="e">
        <f>IF(#REF!&lt;=#REF!,(#REF!-#REF!)*#REF!,0)*-1</f>
        <v>#REF!</v>
      </c>
      <c r="AL8" s="191"/>
      <c r="AM8" s="191"/>
      <c r="AN8" s="91"/>
      <c r="AO8" s="53">
        <f t="shared" ref="AO8:AO17" si="7">AM8*$AO$6</f>
        <v>0</v>
      </c>
      <c r="AP8" s="53">
        <f>AL8*AO6</f>
        <v>0</v>
      </c>
      <c r="AQ8" s="54">
        <f t="shared" ref="AQ8:AQ17" si="8">IF(AM8&gt;=AL8,(AM8-AL8)*$AO$6,0)</f>
        <v>0</v>
      </c>
      <c r="AR8" s="167">
        <v>0</v>
      </c>
      <c r="AS8" s="22"/>
      <c r="AT8" s="29"/>
      <c r="AU8" s="218"/>
      <c r="AV8" s="219">
        <f>AU8-AS8</f>
        <v>0</v>
      </c>
      <c r="AW8" s="52">
        <f t="shared" ref="AW8:AW17" si="9">AU8*$AW$6</f>
        <v>0</v>
      </c>
      <c r="AX8" s="54">
        <f>AS8*$AX$6</f>
        <v>0</v>
      </c>
      <c r="AY8" s="220">
        <f>IF(AU8&gt;=AS8,(AU8-AS8)*$AX$6,0)</f>
        <v>0</v>
      </c>
      <c r="AZ8" s="221">
        <f>IF(AU8&lt;=AS8,(AS8-AU8)*$AX$6,0)</f>
        <v>0</v>
      </c>
      <c r="BA8" s="1"/>
      <c r="BB8" s="9">
        <f>AX8*AY6</f>
        <v>0</v>
      </c>
      <c r="BC8" s="222">
        <f t="shared" ref="BC8:BC17" si="10">O8</f>
        <v>339</v>
      </c>
      <c r="BD8" s="222">
        <v>0</v>
      </c>
      <c r="BE8" s="33">
        <f t="shared" ref="BE8:BE17" si="11">P8</f>
        <v>337</v>
      </c>
      <c r="BF8" s="33">
        <f t="shared" ref="BF8:BF17" si="12">Q8</f>
        <v>337</v>
      </c>
      <c r="BG8" s="223">
        <f t="shared" ref="BG8:BG16" si="13">BE8-BC8</f>
        <v>-2</v>
      </c>
      <c r="BH8" s="56">
        <f t="shared" ref="BH8:BH17" si="14">BC8*$BH$6</f>
        <v>11865</v>
      </c>
      <c r="BI8" s="9">
        <f>BE8*BH6</f>
        <v>11795</v>
      </c>
      <c r="BJ8" s="224">
        <f>BG8*BH6*-1</f>
        <v>70</v>
      </c>
      <c r="BK8" s="9">
        <v>0</v>
      </c>
      <c r="BL8" s="225">
        <v>276</v>
      </c>
      <c r="BM8" s="226">
        <v>273</v>
      </c>
      <c r="BN8" s="226"/>
      <c r="BO8" s="227">
        <f>BL8-BM8</f>
        <v>3</v>
      </c>
      <c r="BP8" s="225"/>
      <c r="BQ8" s="226"/>
      <c r="BR8" s="227">
        <f t="shared" ref="BR8:BR19" si="15">BQ8-BP8</f>
        <v>0</v>
      </c>
      <c r="BS8" s="56">
        <f>BM8*100</f>
        <v>27300</v>
      </c>
      <c r="BT8" s="9">
        <f>BM8*BL6</f>
        <v>27300</v>
      </c>
      <c r="BU8" s="224">
        <v>0</v>
      </c>
      <c r="BV8" s="15">
        <f>BO8*BL6</f>
        <v>300</v>
      </c>
      <c r="BW8" s="15"/>
      <c r="BX8" s="228"/>
      <c r="BY8" s="122" t="e">
        <f>#REF!+#REF!+X8+#REF!+Y8+#REF!++AP8+#REF!+AX8+BI8+BT8+BW8+BX8</f>
        <v>#REF!</v>
      </c>
      <c r="BZ8" s="122"/>
      <c r="CA8" s="122"/>
      <c r="CB8" s="224">
        <v>0</v>
      </c>
      <c r="CC8" s="15">
        <f>BV8*BS6</f>
        <v>0</v>
      </c>
      <c r="CD8" s="122">
        <f>AJ8+AP8+AX8+BI8+BT8+BW8</f>
        <v>1580626.6413199999</v>
      </c>
      <c r="CE8" s="1"/>
    </row>
    <row r="9" spans="1:85" ht="15" customHeight="1" x14ac:dyDescent="0.2">
      <c r="A9" s="121">
        <v>2</v>
      </c>
      <c r="B9" s="6" t="s">
        <v>18</v>
      </c>
      <c r="C9" s="50" t="s">
        <v>2</v>
      </c>
      <c r="D9" s="52">
        <v>82400</v>
      </c>
      <c r="E9" s="52">
        <f t="shared" si="0"/>
        <v>81576</v>
      </c>
      <c r="F9" s="111">
        <v>19</v>
      </c>
      <c r="G9" s="111">
        <v>19</v>
      </c>
      <c r="H9" s="111">
        <v>20</v>
      </c>
      <c r="I9" s="125">
        <f>F9-G9</f>
        <v>0</v>
      </c>
      <c r="J9" s="52">
        <f>F9*J6</f>
        <v>332120</v>
      </c>
      <c r="K9" s="167">
        <v>0</v>
      </c>
      <c r="L9" s="167">
        <f>I9*J6*-1</f>
        <v>0</v>
      </c>
      <c r="M9" s="53">
        <f>F9*J6</f>
        <v>332120</v>
      </c>
      <c r="N9" s="168">
        <f t="shared" si="2"/>
        <v>328798.8</v>
      </c>
      <c r="O9" s="171">
        <v>473</v>
      </c>
      <c r="P9" s="171">
        <v>470</v>
      </c>
      <c r="Q9" s="169">
        <v>480</v>
      </c>
      <c r="R9" s="170">
        <f t="shared" si="3"/>
        <v>-3</v>
      </c>
      <c r="S9" s="53">
        <f>O9*S6</f>
        <v>1629958</v>
      </c>
      <c r="T9" s="167">
        <f>R9*-1*S6+351.49</f>
        <v>10689.49</v>
      </c>
      <c r="U9" s="167">
        <v>0</v>
      </c>
      <c r="V9" s="53">
        <f>P9*S6</f>
        <v>1619620</v>
      </c>
      <c r="W9" s="53">
        <f>P9*S6*99/100</f>
        <v>1603423.8</v>
      </c>
      <c r="X9" s="190"/>
      <c r="Y9" s="190"/>
      <c r="Z9" s="190"/>
      <c r="AA9" s="190"/>
      <c r="AB9" s="190"/>
      <c r="AC9" s="190"/>
      <c r="AD9" s="190"/>
      <c r="AE9" s="112">
        <f>S23*1/2664*P9</f>
        <v>21659.067867867776</v>
      </c>
      <c r="AF9" s="112">
        <f t="shared" si="4"/>
        <v>2013798.6</v>
      </c>
      <c r="AG9" s="112">
        <f t="shared" si="5"/>
        <v>0</v>
      </c>
      <c r="AH9" s="112">
        <f t="shared" si="6"/>
        <v>2013798.6</v>
      </c>
      <c r="AI9" s="112">
        <f t="shared" ref="AI9:AI17" si="16">AH9*0.034</f>
        <v>68469.152400000006</v>
      </c>
      <c r="AJ9" s="112">
        <f t="shared" ref="AJ9:AJ17" si="17">AH9+AI9</f>
        <v>2082267.7524000001</v>
      </c>
      <c r="AK9" s="167"/>
      <c r="AL9" s="7">
        <v>9</v>
      </c>
      <c r="AM9" s="7">
        <v>8</v>
      </c>
      <c r="AN9" s="91">
        <f>AL9-AM9</f>
        <v>1</v>
      </c>
      <c r="AO9" s="53">
        <f t="shared" si="7"/>
        <v>22856</v>
      </c>
      <c r="AP9" s="53">
        <f>AM9*AO6</f>
        <v>22856</v>
      </c>
      <c r="AQ9" s="54">
        <f t="shared" si="8"/>
        <v>0</v>
      </c>
      <c r="AR9" s="167">
        <f>AN9*AO6</f>
        <v>2857</v>
      </c>
      <c r="AS9" s="22">
        <v>5</v>
      </c>
      <c r="AT9" s="29">
        <v>0</v>
      </c>
      <c r="AU9" s="218">
        <v>5</v>
      </c>
      <c r="AV9" s="219">
        <f>AU9-AS9</f>
        <v>0</v>
      </c>
      <c r="AW9" s="52">
        <f t="shared" si="9"/>
        <v>49055</v>
      </c>
      <c r="AX9" s="54">
        <f>AS9*AW6</f>
        <v>49055</v>
      </c>
      <c r="AY9" s="112">
        <f>AV9*AW6</f>
        <v>0</v>
      </c>
      <c r="AZ9" s="229">
        <f>AV9*AW6</f>
        <v>0</v>
      </c>
      <c r="BA9" s="1"/>
      <c r="BB9" s="9">
        <f>IF(AW9&lt;=AU9,(AU9-AW9)*$BI$6,0)</f>
        <v>0</v>
      </c>
      <c r="BC9" s="222">
        <f t="shared" si="10"/>
        <v>473</v>
      </c>
      <c r="BD9" s="222">
        <v>0</v>
      </c>
      <c r="BE9" s="33">
        <f t="shared" si="11"/>
        <v>470</v>
      </c>
      <c r="BF9" s="33">
        <f t="shared" si="12"/>
        <v>480</v>
      </c>
      <c r="BG9" s="223">
        <f t="shared" si="13"/>
        <v>-3</v>
      </c>
      <c r="BH9" s="56">
        <f t="shared" si="14"/>
        <v>16555</v>
      </c>
      <c r="BI9" s="9">
        <f>BE9*BH6</f>
        <v>16450</v>
      </c>
      <c r="BJ9" s="224">
        <f>BG9*-1*BH6</f>
        <v>105</v>
      </c>
      <c r="BK9" s="9">
        <f t="shared" ref="BK9:BK17" si="18">IF(BE9&lt;=BC9,(BC9-BE9)*$BI$6,0)</f>
        <v>0</v>
      </c>
      <c r="BL9" s="230">
        <v>215</v>
      </c>
      <c r="BM9" s="231">
        <v>213</v>
      </c>
      <c r="BN9" s="231"/>
      <c r="BO9" s="227">
        <f>BL9-BM9</f>
        <v>2</v>
      </c>
      <c r="BP9" s="230">
        <v>0</v>
      </c>
      <c r="BQ9" s="231">
        <v>0</v>
      </c>
      <c r="BR9" s="227">
        <f t="shared" si="15"/>
        <v>0</v>
      </c>
      <c r="BS9" s="56">
        <f>BM9*100</f>
        <v>21300</v>
      </c>
      <c r="BT9" s="9">
        <f>BM9*BL6</f>
        <v>21300</v>
      </c>
      <c r="BU9" s="224">
        <v>0</v>
      </c>
      <c r="BV9" s="15">
        <f>BO9*BL6</f>
        <v>200</v>
      </c>
      <c r="BW9" s="15"/>
      <c r="BX9" s="53">
        <v>1</v>
      </c>
      <c r="BY9" s="122" t="e">
        <f>#REF!+#REF!+X9+#REF!+Y9+#REF!++AP9+#REF!+AX9+BI9+BT9+BW9+BX9</f>
        <v>#REF!</v>
      </c>
      <c r="BZ9" s="122"/>
      <c r="CA9" s="122"/>
      <c r="CB9" s="224">
        <v>0</v>
      </c>
      <c r="CC9" s="15">
        <f>BV9*BS6</f>
        <v>0</v>
      </c>
      <c r="CD9" s="122">
        <f>AJ9+AP9+AX9+BI9+BT9+BW9</f>
        <v>2191928.7524000001</v>
      </c>
      <c r="CE9" s="1"/>
    </row>
    <row r="10" spans="1:85" ht="15" customHeight="1" x14ac:dyDescent="0.2">
      <c r="A10" s="121">
        <v>3</v>
      </c>
      <c r="B10" s="6" t="s">
        <v>63</v>
      </c>
      <c r="C10" s="50" t="s">
        <v>2</v>
      </c>
      <c r="D10" s="52">
        <v>82400</v>
      </c>
      <c r="E10" s="52">
        <f t="shared" si="0"/>
        <v>81576</v>
      </c>
      <c r="F10" s="111">
        <v>14</v>
      </c>
      <c r="G10" s="111">
        <v>14</v>
      </c>
      <c r="H10" s="111">
        <v>14</v>
      </c>
      <c r="I10" s="125">
        <f t="shared" si="1"/>
        <v>0</v>
      </c>
      <c r="J10" s="52">
        <f>F10*J6</f>
        <v>244720</v>
      </c>
      <c r="K10" s="167">
        <f>I10*J6</f>
        <v>0</v>
      </c>
      <c r="L10" s="167">
        <v>0</v>
      </c>
      <c r="M10" s="53">
        <f>G10*J6</f>
        <v>244720</v>
      </c>
      <c r="N10" s="168">
        <f t="shared" si="2"/>
        <v>242272.8</v>
      </c>
      <c r="O10" s="49">
        <v>334</v>
      </c>
      <c r="P10" s="49">
        <v>332</v>
      </c>
      <c r="Q10" s="169">
        <v>332</v>
      </c>
      <c r="R10" s="170">
        <f t="shared" si="3"/>
        <v>-2</v>
      </c>
      <c r="S10" s="53">
        <f>O10*S6</f>
        <v>1150964</v>
      </c>
      <c r="T10" s="167">
        <f>R10*-1*S6+234.33</f>
        <v>7126.33</v>
      </c>
      <c r="U10" s="167">
        <v>0</v>
      </c>
      <c r="V10" s="53">
        <f>P10*S6</f>
        <v>1144072</v>
      </c>
      <c r="W10" s="53">
        <f>P10*S6*99/100</f>
        <v>1132631.28</v>
      </c>
      <c r="X10" s="190"/>
      <c r="Y10" s="190"/>
      <c r="Z10" s="190"/>
      <c r="AA10" s="190"/>
      <c r="AB10" s="190"/>
      <c r="AC10" s="190"/>
      <c r="AD10" s="190"/>
      <c r="AE10" s="112">
        <f>S23*1/2664*P10</f>
        <v>15299.596876876811</v>
      </c>
      <c r="AF10" s="112">
        <f t="shared" si="4"/>
        <v>1456480.08</v>
      </c>
      <c r="AG10" s="112">
        <f t="shared" si="5"/>
        <v>0</v>
      </c>
      <c r="AH10" s="112">
        <f t="shared" si="6"/>
        <v>1456480.08</v>
      </c>
      <c r="AI10" s="112">
        <f t="shared" si="16"/>
        <v>49520.322720000004</v>
      </c>
      <c r="AJ10" s="112">
        <f t="shared" si="17"/>
        <v>1506000.4027200001</v>
      </c>
      <c r="AK10" s="7"/>
      <c r="AL10" s="7"/>
      <c r="AM10" s="7"/>
      <c r="AN10" s="91"/>
      <c r="AO10" s="53">
        <f t="shared" si="7"/>
        <v>0</v>
      </c>
      <c r="AP10" s="53">
        <f>AL10*AO8</f>
        <v>0</v>
      </c>
      <c r="AQ10" s="54">
        <f t="shared" si="8"/>
        <v>0</v>
      </c>
      <c r="AR10" s="167">
        <v>0</v>
      </c>
      <c r="AS10" s="22"/>
      <c r="AT10" s="29"/>
      <c r="AU10" s="218"/>
      <c r="AV10" s="219">
        <f>-AU10-AS10</f>
        <v>0</v>
      </c>
      <c r="AW10" s="52">
        <f t="shared" si="9"/>
        <v>0</v>
      </c>
      <c r="AX10" s="54">
        <v>0</v>
      </c>
      <c r="AY10" s="112">
        <v>0</v>
      </c>
      <c r="AZ10" s="229">
        <f>IF(AU10&lt;=AS10,(AS10-AU10)*$AX$6,0)</f>
        <v>0</v>
      </c>
      <c r="BA10" s="1"/>
      <c r="BB10" s="9">
        <f>IF(AW10&lt;=AU10,(AU10-AW10)*$BI$6,0)</f>
        <v>0</v>
      </c>
      <c r="BC10" s="222">
        <f t="shared" si="10"/>
        <v>334</v>
      </c>
      <c r="BD10" s="222">
        <v>0</v>
      </c>
      <c r="BE10" s="33">
        <f t="shared" si="11"/>
        <v>332</v>
      </c>
      <c r="BF10" s="33">
        <f t="shared" si="12"/>
        <v>332</v>
      </c>
      <c r="BG10" s="223">
        <f t="shared" si="13"/>
        <v>-2</v>
      </c>
      <c r="BH10" s="56">
        <f t="shared" si="14"/>
        <v>11690</v>
      </c>
      <c r="BI10" s="9">
        <f>BE10*BH6</f>
        <v>11620</v>
      </c>
      <c r="BJ10" s="224">
        <f>BG10*-1*BH6</f>
        <v>70</v>
      </c>
      <c r="BK10" s="9">
        <f t="shared" si="18"/>
        <v>0</v>
      </c>
      <c r="BL10" s="53"/>
      <c r="BM10" s="232"/>
      <c r="BN10" s="232"/>
      <c r="BO10" s="227">
        <f t="shared" ref="BO10:BO17" si="19">BM10-BL10</f>
        <v>0</v>
      </c>
      <c r="BP10" s="53"/>
      <c r="BQ10" s="232"/>
      <c r="BR10" s="227">
        <f t="shared" si="15"/>
        <v>0</v>
      </c>
      <c r="BS10" s="56">
        <f t="shared" ref="BS10:BS17" si="20">BL10*87</f>
        <v>0</v>
      </c>
      <c r="BT10" s="9">
        <f t="shared" ref="BT10:BT17" si="21">BM10*87</f>
        <v>0</v>
      </c>
      <c r="BU10" s="224">
        <f t="shared" ref="BU10:BU17" si="22">BO10*87</f>
        <v>0</v>
      </c>
      <c r="BV10" s="15">
        <f t="shared" ref="BV10:BV17" si="23">BO10*-87</f>
        <v>0</v>
      </c>
      <c r="BW10" s="15"/>
      <c r="BX10" s="53"/>
      <c r="BY10" s="122" t="e">
        <f>#REF!+#REF!+X10+#REF!+Y10+#REF!++AP10+#REF!+AX10+BI10+BT10+BW10+BX10</f>
        <v>#REF!</v>
      </c>
      <c r="BZ10" s="122"/>
      <c r="CA10" s="122"/>
      <c r="CB10" s="224">
        <f t="shared" ref="CB10:CB17" si="24">BV10*87</f>
        <v>0</v>
      </c>
      <c r="CC10" s="15">
        <f t="shared" ref="CC10:CC16" si="25">BV10*-87</f>
        <v>0</v>
      </c>
      <c r="CD10" s="122">
        <f t="shared" ref="CD10:CD17" si="26">AJ10+AP10+AX10+BI10+BT10+BW10</f>
        <v>1517620.4027200001</v>
      </c>
      <c r="CE10" s="1"/>
    </row>
    <row r="11" spans="1:85" s="1" customFormat="1" ht="14.25" customHeight="1" x14ac:dyDescent="0.2">
      <c r="A11" s="121">
        <v>4</v>
      </c>
      <c r="B11" s="33" t="s">
        <v>60</v>
      </c>
      <c r="C11" s="51" t="s">
        <v>2</v>
      </c>
      <c r="D11" s="52">
        <v>82400</v>
      </c>
      <c r="E11" s="52">
        <f t="shared" si="0"/>
        <v>81576</v>
      </c>
      <c r="F11" s="111">
        <v>14</v>
      </c>
      <c r="G11" s="111">
        <v>14</v>
      </c>
      <c r="H11" s="111">
        <v>14</v>
      </c>
      <c r="I11" s="125">
        <f t="shared" si="1"/>
        <v>0</v>
      </c>
      <c r="J11" s="52">
        <f>F11*J6</f>
        <v>244720</v>
      </c>
      <c r="K11" s="167">
        <f>I11*J6</f>
        <v>0</v>
      </c>
      <c r="L11" s="167">
        <v>0</v>
      </c>
      <c r="M11" s="53">
        <f>G11*J6</f>
        <v>244720</v>
      </c>
      <c r="N11" s="168">
        <f t="shared" si="2"/>
        <v>242272.8</v>
      </c>
      <c r="O11" s="49">
        <v>295</v>
      </c>
      <c r="P11" s="49">
        <v>293</v>
      </c>
      <c r="Q11" s="169">
        <v>293</v>
      </c>
      <c r="R11" s="170">
        <f t="shared" si="3"/>
        <v>-2</v>
      </c>
      <c r="S11" s="53">
        <f>O11*S6</f>
        <v>1016570</v>
      </c>
      <c r="T11" s="167">
        <f>R11*-1*S6+234.33</f>
        <v>7126.33</v>
      </c>
      <c r="U11" s="167">
        <v>0</v>
      </c>
      <c r="V11" s="53">
        <f>P11*S6</f>
        <v>1009678</v>
      </c>
      <c r="W11" s="53">
        <f>P11*S6*99/100</f>
        <v>999581.22</v>
      </c>
      <c r="X11" s="192"/>
      <c r="Y11" s="190"/>
      <c r="Z11" s="190"/>
      <c r="AA11" s="190"/>
      <c r="AB11" s="190"/>
      <c r="AC11" s="190"/>
      <c r="AD11" s="190"/>
      <c r="AE11" s="112">
        <f>S23*1/2664*P11</f>
        <v>13502.355075075016</v>
      </c>
      <c r="AF11" s="112">
        <f t="shared" si="4"/>
        <v>1323430.02</v>
      </c>
      <c r="AG11" s="112">
        <f t="shared" si="5"/>
        <v>0</v>
      </c>
      <c r="AH11" s="112">
        <f t="shared" si="6"/>
        <v>1323430.02</v>
      </c>
      <c r="AI11" s="112">
        <f t="shared" si="16"/>
        <v>44996.620680000007</v>
      </c>
      <c r="AJ11" s="112">
        <f t="shared" si="17"/>
        <v>1368426.64068</v>
      </c>
      <c r="AK11" s="7"/>
      <c r="AL11" s="7"/>
      <c r="AM11" s="7"/>
      <c r="AN11" s="91"/>
      <c r="AO11" s="53">
        <f t="shared" si="7"/>
        <v>0</v>
      </c>
      <c r="AP11" s="53">
        <f>AL11*AO9</f>
        <v>0</v>
      </c>
      <c r="AQ11" s="54">
        <f t="shared" si="8"/>
        <v>0</v>
      </c>
      <c r="AR11" s="167">
        <v>0</v>
      </c>
      <c r="AS11" s="22"/>
      <c r="AT11" s="29"/>
      <c r="AU11" s="218"/>
      <c r="AV11" s="219">
        <f t="shared" ref="AV11:AV17" si="27">AU11-AS11</f>
        <v>0</v>
      </c>
      <c r="AW11" s="52">
        <f t="shared" si="9"/>
        <v>0</v>
      </c>
      <c r="AX11" s="54">
        <f>AS11*$AX$6</f>
        <v>0</v>
      </c>
      <c r="AY11" s="112">
        <f t="shared" ref="AY11:AY17" si="28">IF(AU11&gt;=AS11,(AU11-AS11)*$AX$6,0)</f>
        <v>0</v>
      </c>
      <c r="AZ11" s="229">
        <f>IF(AU11&lt;=AS11,(AS11-AU11)*$AX$6,0)</f>
        <v>0</v>
      </c>
      <c r="BB11" s="9">
        <v>0</v>
      </c>
      <c r="BC11" s="222">
        <f t="shared" si="10"/>
        <v>295</v>
      </c>
      <c r="BD11" s="222">
        <v>0</v>
      </c>
      <c r="BE11" s="33">
        <f t="shared" si="11"/>
        <v>293</v>
      </c>
      <c r="BF11" s="33">
        <f t="shared" si="12"/>
        <v>293</v>
      </c>
      <c r="BG11" s="223">
        <f t="shared" si="13"/>
        <v>-2</v>
      </c>
      <c r="BH11" s="56">
        <f t="shared" si="14"/>
        <v>10325</v>
      </c>
      <c r="BI11" s="9">
        <f>BE11*BH6</f>
        <v>10255</v>
      </c>
      <c r="BJ11" s="224">
        <f>BG11*-1*BH6</f>
        <v>70</v>
      </c>
      <c r="BK11" s="9">
        <v>0</v>
      </c>
      <c r="BL11" s="53"/>
      <c r="BM11" s="232"/>
      <c r="BN11" s="232"/>
      <c r="BO11" s="227">
        <f t="shared" si="19"/>
        <v>0</v>
      </c>
      <c r="BP11" s="53"/>
      <c r="BQ11" s="232"/>
      <c r="BR11" s="227">
        <f t="shared" si="15"/>
        <v>0</v>
      </c>
      <c r="BS11" s="56">
        <f t="shared" si="20"/>
        <v>0</v>
      </c>
      <c r="BT11" s="9">
        <f t="shared" si="21"/>
        <v>0</v>
      </c>
      <c r="BU11" s="224">
        <f t="shared" si="22"/>
        <v>0</v>
      </c>
      <c r="BV11" s="15">
        <f t="shared" si="23"/>
        <v>0</v>
      </c>
      <c r="BW11" s="15"/>
      <c r="BX11" s="53"/>
      <c r="BY11" s="122" t="e">
        <f>#REF!+#REF!+X11+#REF!+Y11+#REF!++AP11+#REF!+AX11+BI11+BT11+BW11+BX11</f>
        <v>#REF!</v>
      </c>
      <c r="BZ11" s="122"/>
      <c r="CA11" s="122"/>
      <c r="CB11" s="224">
        <f t="shared" si="24"/>
        <v>0</v>
      </c>
      <c r="CC11" s="15">
        <f t="shared" si="25"/>
        <v>0</v>
      </c>
      <c r="CD11" s="122">
        <f t="shared" si="26"/>
        <v>1378681.64068</v>
      </c>
      <c r="CE11" s="102"/>
      <c r="CF11" s="102"/>
      <c r="CG11" s="102"/>
    </row>
    <row r="12" spans="1:85" s="1" customFormat="1" ht="15" customHeight="1" x14ac:dyDescent="0.2">
      <c r="A12" s="121">
        <v>5</v>
      </c>
      <c r="B12" s="33" t="s">
        <v>62</v>
      </c>
      <c r="C12" s="51" t="s">
        <v>2</v>
      </c>
      <c r="D12" s="52">
        <v>82400</v>
      </c>
      <c r="E12" s="52">
        <f t="shared" si="0"/>
        <v>81576</v>
      </c>
      <c r="F12" s="111">
        <v>7</v>
      </c>
      <c r="G12" s="111">
        <v>7</v>
      </c>
      <c r="H12" s="111">
        <v>7</v>
      </c>
      <c r="I12" s="125">
        <f t="shared" si="1"/>
        <v>0</v>
      </c>
      <c r="J12" s="52">
        <f>F12*J6</f>
        <v>122360</v>
      </c>
      <c r="K12" s="167">
        <f>I12*J6</f>
        <v>0</v>
      </c>
      <c r="L12" s="167">
        <v>0</v>
      </c>
      <c r="M12" s="53">
        <f>G12*J6</f>
        <v>122360</v>
      </c>
      <c r="N12" s="168">
        <f t="shared" si="2"/>
        <v>121136.4</v>
      </c>
      <c r="O12" s="49">
        <v>172</v>
      </c>
      <c r="P12" s="49">
        <v>170</v>
      </c>
      <c r="Q12" s="169">
        <v>170</v>
      </c>
      <c r="R12" s="170">
        <f t="shared" si="3"/>
        <v>-2</v>
      </c>
      <c r="S12" s="53">
        <f>O12*S6</f>
        <v>592712</v>
      </c>
      <c r="T12" s="167">
        <f>R12*-1*S6+234.33</f>
        <v>7126.33</v>
      </c>
      <c r="U12" s="167">
        <v>0</v>
      </c>
      <c r="V12" s="53">
        <f>P12*S6</f>
        <v>585820</v>
      </c>
      <c r="W12" s="53">
        <f>P12*S6*99/100</f>
        <v>579961.80000000005</v>
      </c>
      <c r="X12" s="190"/>
      <c r="Y12" s="190"/>
      <c r="Z12" s="190"/>
      <c r="AA12" s="190"/>
      <c r="AB12" s="190"/>
      <c r="AC12" s="190"/>
      <c r="AD12" s="190"/>
      <c r="AE12" s="112">
        <f>S23*1/2664*P12</f>
        <v>7834.1309309308972</v>
      </c>
      <c r="AF12" s="112">
        <f t="shared" si="4"/>
        <v>782674.20000000007</v>
      </c>
      <c r="AG12" s="112">
        <f t="shared" si="5"/>
        <v>0</v>
      </c>
      <c r="AH12" s="112">
        <f t="shared" si="6"/>
        <v>782674.20000000007</v>
      </c>
      <c r="AI12" s="112">
        <f t="shared" si="16"/>
        <v>26610.922800000004</v>
      </c>
      <c r="AJ12" s="112">
        <f t="shared" si="17"/>
        <v>809285.12280000013</v>
      </c>
      <c r="AK12" s="7"/>
      <c r="AL12" s="7"/>
      <c r="AM12" s="7"/>
      <c r="AN12" s="91"/>
      <c r="AO12" s="53">
        <f t="shared" si="7"/>
        <v>0</v>
      </c>
      <c r="AP12" s="53">
        <f>AL12*AO10</f>
        <v>0</v>
      </c>
      <c r="AQ12" s="54">
        <f t="shared" si="8"/>
        <v>0</v>
      </c>
      <c r="AR12" s="167">
        <v>0</v>
      </c>
      <c r="AS12" s="22">
        <v>1</v>
      </c>
      <c r="AT12" s="29"/>
      <c r="AU12" s="218">
        <v>1</v>
      </c>
      <c r="AV12" s="219">
        <f t="shared" si="27"/>
        <v>0</v>
      </c>
      <c r="AW12" s="52">
        <f t="shared" si="9"/>
        <v>9811</v>
      </c>
      <c r="AX12" s="54">
        <f>AU12*AW6</f>
        <v>9811</v>
      </c>
      <c r="AY12" s="112">
        <f t="shared" si="28"/>
        <v>0</v>
      </c>
      <c r="AZ12" s="229">
        <f>AV12*AW6</f>
        <v>0</v>
      </c>
      <c r="BB12" s="9">
        <f>AV12*AW6*-1</f>
        <v>0</v>
      </c>
      <c r="BC12" s="222">
        <f t="shared" si="10"/>
        <v>172</v>
      </c>
      <c r="BD12" s="222">
        <v>0</v>
      </c>
      <c r="BE12" s="33">
        <f t="shared" si="11"/>
        <v>170</v>
      </c>
      <c r="BF12" s="33">
        <f t="shared" si="12"/>
        <v>170</v>
      </c>
      <c r="BG12" s="223">
        <f t="shared" si="13"/>
        <v>-2</v>
      </c>
      <c r="BH12" s="56">
        <f t="shared" si="14"/>
        <v>6020</v>
      </c>
      <c r="BI12" s="9">
        <f>BE12*BH6</f>
        <v>5950</v>
      </c>
      <c r="BJ12" s="224">
        <f>BG12*-1*BH6</f>
        <v>70</v>
      </c>
      <c r="BK12" s="9">
        <v>0</v>
      </c>
      <c r="BL12" s="53"/>
      <c r="BM12" s="232"/>
      <c r="BN12" s="232"/>
      <c r="BO12" s="227">
        <f t="shared" si="19"/>
        <v>0</v>
      </c>
      <c r="BP12" s="53"/>
      <c r="BQ12" s="232"/>
      <c r="BR12" s="227">
        <f t="shared" si="15"/>
        <v>0</v>
      </c>
      <c r="BS12" s="56">
        <f t="shared" si="20"/>
        <v>0</v>
      </c>
      <c r="BT12" s="9">
        <f t="shared" si="21"/>
        <v>0</v>
      </c>
      <c r="BU12" s="224">
        <f t="shared" si="22"/>
        <v>0</v>
      </c>
      <c r="BV12" s="15">
        <f t="shared" si="23"/>
        <v>0</v>
      </c>
      <c r="BW12" s="15"/>
      <c r="BX12" s="53"/>
      <c r="BY12" s="122" t="e">
        <f>#REF!+#REF!+X12+#REF!+Y12+#REF!++AP12+#REF!+AX12+BI12+BT12+BW12+BX12</f>
        <v>#REF!</v>
      </c>
      <c r="BZ12" s="122"/>
      <c r="CA12" s="122"/>
      <c r="CB12" s="224">
        <f t="shared" si="24"/>
        <v>0</v>
      </c>
      <c r="CC12" s="15">
        <f t="shared" si="25"/>
        <v>0</v>
      </c>
      <c r="CD12" s="122">
        <f t="shared" si="26"/>
        <v>825046.12280000013</v>
      </c>
    </row>
    <row r="13" spans="1:85" s="1" customFormat="1" ht="15" customHeight="1" x14ac:dyDescent="0.2">
      <c r="A13" s="121">
        <v>6</v>
      </c>
      <c r="B13" s="33" t="s">
        <v>64</v>
      </c>
      <c r="C13" s="51" t="s">
        <v>2</v>
      </c>
      <c r="D13" s="52">
        <v>82400</v>
      </c>
      <c r="E13" s="52">
        <f t="shared" si="0"/>
        <v>81576</v>
      </c>
      <c r="F13" s="111">
        <v>29</v>
      </c>
      <c r="G13" s="111">
        <v>29</v>
      </c>
      <c r="H13" s="111">
        <v>29</v>
      </c>
      <c r="I13" s="125">
        <f t="shared" si="1"/>
        <v>0</v>
      </c>
      <c r="J13" s="52">
        <f>F13*J6</f>
        <v>506920</v>
      </c>
      <c r="K13" s="167">
        <f>I13*J6</f>
        <v>0</v>
      </c>
      <c r="L13" s="167">
        <v>0</v>
      </c>
      <c r="M13" s="53">
        <f>G13*J6</f>
        <v>506920</v>
      </c>
      <c r="N13" s="168">
        <f t="shared" si="2"/>
        <v>501850.8</v>
      </c>
      <c r="O13" s="172">
        <v>632</v>
      </c>
      <c r="P13" s="172">
        <v>628</v>
      </c>
      <c r="Q13" s="169">
        <v>628</v>
      </c>
      <c r="R13" s="170">
        <f t="shared" si="3"/>
        <v>-4</v>
      </c>
      <c r="S13" s="53">
        <f>O13*S6</f>
        <v>2177872</v>
      </c>
      <c r="T13" s="167">
        <f>R13*-1*S6+468.65</f>
        <v>14252.65</v>
      </c>
      <c r="U13" s="167">
        <v>0</v>
      </c>
      <c r="V13" s="53">
        <f>P13*S6</f>
        <v>2164088</v>
      </c>
      <c r="W13" s="53">
        <f>P13*S6*99/100</f>
        <v>2142447.12</v>
      </c>
      <c r="X13" s="192"/>
      <c r="Y13" s="190"/>
      <c r="Z13" s="190"/>
      <c r="AA13" s="190"/>
      <c r="AB13" s="190"/>
      <c r="AC13" s="190"/>
      <c r="AD13" s="190"/>
      <c r="AE13" s="112">
        <f>S23*1/2664*P13</f>
        <v>28940.201321321198</v>
      </c>
      <c r="AF13" s="112">
        <f t="shared" si="4"/>
        <v>2725873.92</v>
      </c>
      <c r="AG13" s="112">
        <f t="shared" si="5"/>
        <v>0</v>
      </c>
      <c r="AH13" s="112">
        <f t="shared" si="6"/>
        <v>2725873.92</v>
      </c>
      <c r="AI13" s="112">
        <f t="shared" si="16"/>
        <v>92679.713280000011</v>
      </c>
      <c r="AJ13" s="112">
        <f t="shared" si="17"/>
        <v>2818553.6332799997</v>
      </c>
      <c r="AK13" s="7"/>
      <c r="AL13" s="7">
        <v>1</v>
      </c>
      <c r="AM13" s="7">
        <v>0</v>
      </c>
      <c r="AN13" s="91">
        <f>AL13-AM13</f>
        <v>1</v>
      </c>
      <c r="AO13" s="53">
        <f t="shared" si="7"/>
        <v>0</v>
      </c>
      <c r="AP13" s="53">
        <f>AL13*AO11</f>
        <v>0</v>
      </c>
      <c r="AQ13" s="54">
        <f t="shared" si="8"/>
        <v>0</v>
      </c>
      <c r="AR13" s="167">
        <f>AN13*AO6</f>
        <v>2857</v>
      </c>
      <c r="AS13" s="22"/>
      <c r="AT13" s="29"/>
      <c r="AU13" s="218"/>
      <c r="AV13" s="219">
        <f t="shared" si="27"/>
        <v>0</v>
      </c>
      <c r="AW13" s="52">
        <f t="shared" si="9"/>
        <v>0</v>
      </c>
      <c r="AX13" s="54">
        <f>AS13*$AX$6</f>
        <v>0</v>
      </c>
      <c r="AY13" s="112">
        <f t="shared" si="28"/>
        <v>0</v>
      </c>
      <c r="AZ13" s="229">
        <f>IF(AU13&lt;=AS13,(AS13-AU13)*$AX$6,0)</f>
        <v>0</v>
      </c>
      <c r="BB13" s="9">
        <f>AX13*AY6</f>
        <v>0</v>
      </c>
      <c r="BC13" s="222">
        <f t="shared" si="10"/>
        <v>632</v>
      </c>
      <c r="BD13" s="222">
        <v>0</v>
      </c>
      <c r="BE13" s="33">
        <f t="shared" si="11"/>
        <v>628</v>
      </c>
      <c r="BF13" s="33">
        <f t="shared" si="12"/>
        <v>628</v>
      </c>
      <c r="BG13" s="223">
        <f t="shared" si="13"/>
        <v>-4</v>
      </c>
      <c r="BH13" s="56">
        <f t="shared" si="14"/>
        <v>22120</v>
      </c>
      <c r="BI13" s="9">
        <f>BE13*BH6</f>
        <v>21980</v>
      </c>
      <c r="BJ13" s="224">
        <f>BG13*-1*BH6</f>
        <v>140</v>
      </c>
      <c r="BK13" s="9">
        <v>0</v>
      </c>
      <c r="BL13" s="230"/>
      <c r="BM13" s="231"/>
      <c r="BN13" s="231"/>
      <c r="BO13" s="227">
        <f t="shared" si="19"/>
        <v>0</v>
      </c>
      <c r="BP13" s="230"/>
      <c r="BQ13" s="231"/>
      <c r="BR13" s="227">
        <f t="shared" si="15"/>
        <v>0</v>
      </c>
      <c r="BS13" s="56">
        <f t="shared" si="20"/>
        <v>0</v>
      </c>
      <c r="BT13" s="9">
        <f t="shared" si="21"/>
        <v>0</v>
      </c>
      <c r="BU13" s="224">
        <f t="shared" si="22"/>
        <v>0</v>
      </c>
      <c r="BV13" s="15">
        <f t="shared" si="23"/>
        <v>0</v>
      </c>
      <c r="BW13" s="15"/>
      <c r="BX13" s="53"/>
      <c r="BY13" s="122" t="e">
        <f>#REF!+#REF!+X13+#REF!+Y13+#REF!++AP13+#REF!+AX13+BI13+BT13+BW13+BX13</f>
        <v>#REF!</v>
      </c>
      <c r="BZ13" s="122"/>
      <c r="CA13" s="122"/>
      <c r="CB13" s="224">
        <f t="shared" si="24"/>
        <v>0</v>
      </c>
      <c r="CC13" s="15">
        <f t="shared" si="25"/>
        <v>0</v>
      </c>
      <c r="CD13" s="122">
        <f t="shared" si="26"/>
        <v>2840533.6332799997</v>
      </c>
    </row>
    <row r="14" spans="1:85" s="1" customFormat="1" ht="15" customHeight="1" x14ac:dyDescent="0.2">
      <c r="A14" s="121">
        <v>7</v>
      </c>
      <c r="B14" s="33" t="s">
        <v>65</v>
      </c>
      <c r="C14" s="51" t="s">
        <v>2</v>
      </c>
      <c r="D14" s="52">
        <v>82400</v>
      </c>
      <c r="E14" s="52">
        <f t="shared" si="0"/>
        <v>81576</v>
      </c>
      <c r="F14" s="111">
        <v>12</v>
      </c>
      <c r="G14" s="111">
        <v>12</v>
      </c>
      <c r="H14" s="111">
        <v>12</v>
      </c>
      <c r="I14" s="125">
        <f t="shared" si="1"/>
        <v>0</v>
      </c>
      <c r="J14" s="52">
        <f>F14*J6</f>
        <v>209760</v>
      </c>
      <c r="K14" s="167">
        <v>0</v>
      </c>
      <c r="L14" s="167">
        <v>0</v>
      </c>
      <c r="M14" s="53">
        <f>G14*J6</f>
        <v>209760</v>
      </c>
      <c r="N14" s="168">
        <f t="shared" si="2"/>
        <v>207662.4</v>
      </c>
      <c r="O14" s="49">
        <v>267</v>
      </c>
      <c r="P14" s="49">
        <v>265</v>
      </c>
      <c r="Q14" s="169">
        <v>265</v>
      </c>
      <c r="R14" s="170">
        <f t="shared" si="3"/>
        <v>-2</v>
      </c>
      <c r="S14" s="53">
        <f>O14*S6</f>
        <v>920082</v>
      </c>
      <c r="T14" s="167">
        <f>R14*-1*S6+234.33</f>
        <v>7126.33</v>
      </c>
      <c r="U14" s="167">
        <v>0</v>
      </c>
      <c r="V14" s="53">
        <f>P14*S6</f>
        <v>913190</v>
      </c>
      <c r="W14" s="53">
        <f>P14*S6*99/100</f>
        <v>904058.1</v>
      </c>
      <c r="X14" s="190"/>
      <c r="Y14" s="190"/>
      <c r="Z14" s="190"/>
      <c r="AA14" s="190"/>
      <c r="AB14" s="190"/>
      <c r="AC14" s="190"/>
      <c r="AD14" s="190"/>
      <c r="AE14" s="112">
        <f>S23*1/2664*P14</f>
        <v>12212.027627627574</v>
      </c>
      <c r="AF14" s="112">
        <f t="shared" si="4"/>
        <v>1193296.5</v>
      </c>
      <c r="AG14" s="112">
        <f t="shared" si="5"/>
        <v>0</v>
      </c>
      <c r="AH14" s="112">
        <f t="shared" si="6"/>
        <v>1193296.5</v>
      </c>
      <c r="AI14" s="112">
        <f t="shared" si="16"/>
        <v>40572.081000000006</v>
      </c>
      <c r="AJ14" s="112">
        <f t="shared" si="17"/>
        <v>1233868.581</v>
      </c>
      <c r="AK14" s="7"/>
      <c r="AL14" s="7"/>
      <c r="AM14" s="7"/>
      <c r="AN14" s="91"/>
      <c r="AO14" s="53">
        <f t="shared" si="7"/>
        <v>0</v>
      </c>
      <c r="AP14" s="53">
        <f>AL14*AO12</f>
        <v>0</v>
      </c>
      <c r="AQ14" s="54">
        <f t="shared" si="8"/>
        <v>0</v>
      </c>
      <c r="AR14" s="167">
        <v>0</v>
      </c>
      <c r="AS14" s="22"/>
      <c r="AT14" s="29"/>
      <c r="AU14" s="218"/>
      <c r="AV14" s="219">
        <f t="shared" si="27"/>
        <v>0</v>
      </c>
      <c r="AW14" s="52">
        <f t="shared" si="9"/>
        <v>0</v>
      </c>
      <c r="AX14" s="54">
        <f>AU14*AW6</f>
        <v>0</v>
      </c>
      <c r="AY14" s="112">
        <f t="shared" si="28"/>
        <v>0</v>
      </c>
      <c r="AZ14" s="229">
        <f>-AV14*AW6</f>
        <v>0</v>
      </c>
      <c r="BB14" s="9">
        <v>0</v>
      </c>
      <c r="BC14" s="222">
        <f t="shared" si="10"/>
        <v>267</v>
      </c>
      <c r="BD14" s="222">
        <v>0</v>
      </c>
      <c r="BE14" s="33">
        <f t="shared" si="11"/>
        <v>265</v>
      </c>
      <c r="BF14" s="33">
        <f t="shared" si="12"/>
        <v>265</v>
      </c>
      <c r="BG14" s="223">
        <f t="shared" si="13"/>
        <v>-2</v>
      </c>
      <c r="BH14" s="56">
        <f t="shared" si="14"/>
        <v>9345</v>
      </c>
      <c r="BI14" s="9">
        <f>BE14*BH6</f>
        <v>9275</v>
      </c>
      <c r="BJ14" s="224">
        <f>BG14*-1*BH6</f>
        <v>70</v>
      </c>
      <c r="BK14" s="9">
        <v>0</v>
      </c>
      <c r="BL14" s="53"/>
      <c r="BM14" s="232"/>
      <c r="BN14" s="232"/>
      <c r="BO14" s="227">
        <f t="shared" si="19"/>
        <v>0</v>
      </c>
      <c r="BP14" s="53"/>
      <c r="BQ14" s="232"/>
      <c r="BR14" s="227">
        <f t="shared" si="15"/>
        <v>0</v>
      </c>
      <c r="BS14" s="56">
        <f t="shared" si="20"/>
        <v>0</v>
      </c>
      <c r="BT14" s="9">
        <f t="shared" si="21"/>
        <v>0</v>
      </c>
      <c r="BU14" s="224">
        <f t="shared" si="22"/>
        <v>0</v>
      </c>
      <c r="BV14" s="15">
        <f t="shared" si="23"/>
        <v>0</v>
      </c>
      <c r="BW14" s="15"/>
      <c r="BX14" s="53"/>
      <c r="BY14" s="122" t="e">
        <f>#REF!+#REF!+X14+#REF!+Y14+#REF!++AP14+#REF!+AX14+BI14+BT14+BW14+BX14</f>
        <v>#REF!</v>
      </c>
      <c r="BZ14" s="122"/>
      <c r="CA14" s="122"/>
      <c r="CB14" s="224">
        <f t="shared" si="24"/>
        <v>0</v>
      </c>
      <c r="CC14" s="15">
        <f t="shared" si="25"/>
        <v>0</v>
      </c>
      <c r="CD14" s="122">
        <f t="shared" si="26"/>
        <v>1243143.581</v>
      </c>
    </row>
    <row r="15" spans="1:85" ht="15" customHeight="1" x14ac:dyDescent="0.2">
      <c r="A15" s="121">
        <v>8</v>
      </c>
      <c r="B15" s="6" t="s">
        <v>66</v>
      </c>
      <c r="C15" s="50" t="s">
        <v>12</v>
      </c>
      <c r="D15" s="52">
        <v>82400</v>
      </c>
      <c r="E15" s="52">
        <f t="shared" si="0"/>
        <v>81576</v>
      </c>
      <c r="F15" s="111">
        <v>7</v>
      </c>
      <c r="G15" s="111">
        <v>7</v>
      </c>
      <c r="H15" s="111">
        <v>7</v>
      </c>
      <c r="I15" s="125">
        <f t="shared" si="1"/>
        <v>0</v>
      </c>
      <c r="J15" s="52">
        <f>F15*J6</f>
        <v>122360</v>
      </c>
      <c r="K15" s="167">
        <f>I15*J6</f>
        <v>0</v>
      </c>
      <c r="L15" s="167">
        <v>0</v>
      </c>
      <c r="M15" s="53">
        <f>G15*J6</f>
        <v>122360</v>
      </c>
      <c r="N15" s="168">
        <f t="shared" si="2"/>
        <v>121136.4</v>
      </c>
      <c r="O15" s="49">
        <v>58</v>
      </c>
      <c r="P15" s="49">
        <v>56</v>
      </c>
      <c r="Q15" s="169">
        <v>56</v>
      </c>
      <c r="R15" s="170">
        <f t="shared" si="3"/>
        <v>-2</v>
      </c>
      <c r="S15" s="53">
        <f>O15*S6</f>
        <v>199868</v>
      </c>
      <c r="T15" s="167">
        <f>R15*-1*S6+234.33</f>
        <v>7126.33</v>
      </c>
      <c r="U15" s="167">
        <v>0</v>
      </c>
      <c r="V15" s="53">
        <f>P15*S6</f>
        <v>192976</v>
      </c>
      <c r="W15" s="53">
        <f>P15*S6*99/100</f>
        <v>191046.24</v>
      </c>
      <c r="X15" s="190"/>
      <c r="Y15" s="190"/>
      <c r="Z15" s="190"/>
      <c r="AA15" s="190"/>
      <c r="AB15" s="190"/>
      <c r="AC15" s="190"/>
      <c r="AD15" s="190"/>
      <c r="AE15" s="112">
        <f>S23*1/2664*P15</f>
        <v>2580.6548948948839</v>
      </c>
      <c r="AF15" s="112">
        <f t="shared" si="4"/>
        <v>393758.64</v>
      </c>
      <c r="AG15" s="112">
        <f t="shared" si="5"/>
        <v>0</v>
      </c>
      <c r="AH15" s="112">
        <f t="shared" si="6"/>
        <v>393758.64</v>
      </c>
      <c r="AI15" s="112">
        <f t="shared" si="16"/>
        <v>13387.793760000002</v>
      </c>
      <c r="AJ15" s="112">
        <f t="shared" si="17"/>
        <v>407146.43376000004</v>
      </c>
      <c r="AK15" s="7"/>
      <c r="AL15" s="7">
        <v>1</v>
      </c>
      <c r="AM15" s="7">
        <v>0</v>
      </c>
      <c r="AN15" s="91">
        <f>AL15-AM15</f>
        <v>1</v>
      </c>
      <c r="AO15" s="53">
        <f t="shared" si="7"/>
        <v>0</v>
      </c>
      <c r="AP15" s="53">
        <v>0</v>
      </c>
      <c r="AQ15" s="54">
        <f t="shared" si="8"/>
        <v>0</v>
      </c>
      <c r="AR15" s="167">
        <f>AN15*AO6</f>
        <v>2857</v>
      </c>
      <c r="AS15" s="22"/>
      <c r="AT15" s="29"/>
      <c r="AU15" s="218"/>
      <c r="AV15" s="219">
        <f t="shared" si="27"/>
        <v>0</v>
      </c>
      <c r="AW15" s="52">
        <f t="shared" si="9"/>
        <v>0</v>
      </c>
      <c r="AX15" s="54">
        <f>AS15*$AX$6</f>
        <v>0</v>
      </c>
      <c r="AY15" s="112">
        <f t="shared" si="28"/>
        <v>0</v>
      </c>
      <c r="AZ15" s="229">
        <f>IF(AU15&lt;=AS15,(AS15-AU15)*$AX$6,0)</f>
        <v>0</v>
      </c>
      <c r="BA15" s="1"/>
      <c r="BB15" s="9">
        <f>IF(AW15&lt;=AU15,(AU15-AW15)*$BI$6,0)</f>
        <v>0</v>
      </c>
      <c r="BC15" s="222">
        <f t="shared" si="10"/>
        <v>58</v>
      </c>
      <c r="BD15" s="222">
        <v>0</v>
      </c>
      <c r="BE15" s="33">
        <f t="shared" si="11"/>
        <v>56</v>
      </c>
      <c r="BF15" s="33">
        <f t="shared" si="12"/>
        <v>56</v>
      </c>
      <c r="BG15" s="223">
        <f t="shared" si="13"/>
        <v>-2</v>
      </c>
      <c r="BH15" s="56">
        <f t="shared" si="14"/>
        <v>2030</v>
      </c>
      <c r="BI15" s="9">
        <f>BE15*BH6</f>
        <v>1960</v>
      </c>
      <c r="BJ15" s="224">
        <f>BG15*BH6*-1</f>
        <v>70</v>
      </c>
      <c r="BK15" s="9">
        <f t="shared" si="18"/>
        <v>0</v>
      </c>
      <c r="BL15" s="53"/>
      <c r="BM15" s="232"/>
      <c r="BN15" s="232"/>
      <c r="BO15" s="227">
        <f t="shared" si="19"/>
        <v>0</v>
      </c>
      <c r="BP15" s="53"/>
      <c r="BQ15" s="232"/>
      <c r="BR15" s="227">
        <f t="shared" si="15"/>
        <v>0</v>
      </c>
      <c r="BS15" s="56">
        <f t="shared" si="20"/>
        <v>0</v>
      </c>
      <c r="BT15" s="9">
        <f t="shared" si="21"/>
        <v>0</v>
      </c>
      <c r="BU15" s="224">
        <f t="shared" si="22"/>
        <v>0</v>
      </c>
      <c r="BV15" s="15">
        <f t="shared" si="23"/>
        <v>0</v>
      </c>
      <c r="BW15" s="15">
        <v>85461</v>
      </c>
      <c r="BX15" s="53"/>
      <c r="BY15" s="122" t="e">
        <f>#REF!+#REF!+X15+#REF!+Y15+#REF!++AP15+#REF!+AX15+BI15+BT15+BW15+BX15</f>
        <v>#REF!</v>
      </c>
      <c r="BZ15" s="122"/>
      <c r="CA15" s="122"/>
      <c r="CB15" s="224">
        <v>6892</v>
      </c>
      <c r="CC15" s="15">
        <f t="shared" si="25"/>
        <v>0</v>
      </c>
      <c r="CD15" s="122">
        <f t="shared" si="26"/>
        <v>494567.43376000004</v>
      </c>
      <c r="CE15" s="1"/>
    </row>
    <row r="16" spans="1:85" s="1" customFormat="1" ht="15" customHeight="1" x14ac:dyDescent="0.2">
      <c r="A16" s="121">
        <v>9</v>
      </c>
      <c r="B16" s="33" t="s">
        <v>67</v>
      </c>
      <c r="C16" s="51" t="s">
        <v>3</v>
      </c>
      <c r="D16" s="52">
        <v>82400</v>
      </c>
      <c r="E16" s="52">
        <f t="shared" si="0"/>
        <v>81576</v>
      </c>
      <c r="F16" s="111">
        <v>6</v>
      </c>
      <c r="G16" s="111">
        <v>6</v>
      </c>
      <c r="H16" s="111">
        <v>6</v>
      </c>
      <c r="I16" s="125">
        <f t="shared" si="1"/>
        <v>0</v>
      </c>
      <c r="J16" s="52">
        <f>F16*J6</f>
        <v>104880</v>
      </c>
      <c r="K16" s="167">
        <f>I16*J6</f>
        <v>0</v>
      </c>
      <c r="L16" s="167">
        <v>0</v>
      </c>
      <c r="M16" s="53">
        <f>G16*J6</f>
        <v>104880</v>
      </c>
      <c r="N16" s="168">
        <f t="shared" si="2"/>
        <v>103831.2</v>
      </c>
      <c r="O16" s="49">
        <v>55</v>
      </c>
      <c r="P16" s="49">
        <v>53</v>
      </c>
      <c r="Q16" s="169">
        <v>54</v>
      </c>
      <c r="R16" s="170">
        <f t="shared" si="3"/>
        <v>-2</v>
      </c>
      <c r="S16" s="53">
        <f>O16*S6</f>
        <v>189530</v>
      </c>
      <c r="T16" s="167">
        <f>R16*-1*S6+234.33</f>
        <v>7126.33</v>
      </c>
      <c r="U16" s="167">
        <v>0</v>
      </c>
      <c r="V16" s="53">
        <f>P16*S6</f>
        <v>182638</v>
      </c>
      <c r="W16" s="53">
        <f>P16*S6*99/100</f>
        <v>180811.62</v>
      </c>
      <c r="X16" s="190"/>
      <c r="Y16" s="190"/>
      <c r="Z16" s="190"/>
      <c r="AA16" s="190"/>
      <c r="AB16" s="190"/>
      <c r="AC16" s="190"/>
      <c r="AD16" s="190"/>
      <c r="AE16" s="112">
        <f>S23*1/2664*P16</f>
        <v>2442.4055255255148</v>
      </c>
      <c r="AF16" s="112">
        <f t="shared" si="4"/>
        <v>366218.82</v>
      </c>
      <c r="AG16" s="112">
        <f t="shared" si="5"/>
        <v>0</v>
      </c>
      <c r="AH16" s="112">
        <f t="shared" si="6"/>
        <v>366218.82</v>
      </c>
      <c r="AI16" s="112">
        <f t="shared" si="16"/>
        <v>12451.439880000002</v>
      </c>
      <c r="AJ16" s="112">
        <f t="shared" si="17"/>
        <v>378670.25988000003</v>
      </c>
      <c r="AK16" s="7"/>
      <c r="AL16" s="7"/>
      <c r="AM16" s="7"/>
      <c r="AN16" s="91"/>
      <c r="AO16" s="53">
        <f t="shared" si="7"/>
        <v>0</v>
      </c>
      <c r="AP16" s="53">
        <f>AL16</f>
        <v>0</v>
      </c>
      <c r="AQ16" s="54">
        <f t="shared" si="8"/>
        <v>0</v>
      </c>
      <c r="AR16" s="167">
        <v>0</v>
      </c>
      <c r="AS16" s="22"/>
      <c r="AT16" s="29"/>
      <c r="AU16" s="218"/>
      <c r="AV16" s="219">
        <f t="shared" si="27"/>
        <v>0</v>
      </c>
      <c r="AW16" s="52">
        <f t="shared" si="9"/>
        <v>0</v>
      </c>
      <c r="AX16" s="54">
        <f>AS16*$AX$6</f>
        <v>0</v>
      </c>
      <c r="AY16" s="112">
        <f t="shared" si="28"/>
        <v>0</v>
      </c>
      <c r="AZ16" s="229">
        <f>IF(AU16&lt;=AS16,(AS16-AU16)*$AX$6,0)</f>
        <v>0</v>
      </c>
      <c r="BB16" s="9">
        <v>0</v>
      </c>
      <c r="BC16" s="222">
        <f t="shared" si="10"/>
        <v>55</v>
      </c>
      <c r="BD16" s="222">
        <v>0</v>
      </c>
      <c r="BE16" s="33">
        <f t="shared" si="11"/>
        <v>53</v>
      </c>
      <c r="BF16" s="33">
        <f t="shared" si="12"/>
        <v>54</v>
      </c>
      <c r="BG16" s="223">
        <f t="shared" si="13"/>
        <v>-2</v>
      </c>
      <c r="BH16" s="56">
        <f t="shared" si="14"/>
        <v>1925</v>
      </c>
      <c r="BI16" s="9">
        <f>BE16*BH6</f>
        <v>1855</v>
      </c>
      <c r="BJ16" s="224">
        <f>BG16*-1*BH6</f>
        <v>70</v>
      </c>
      <c r="BK16" s="9">
        <v>0</v>
      </c>
      <c r="BL16" s="53"/>
      <c r="BM16" s="232"/>
      <c r="BN16" s="232"/>
      <c r="BO16" s="227">
        <f t="shared" si="19"/>
        <v>0</v>
      </c>
      <c r="BP16" s="53"/>
      <c r="BQ16" s="232"/>
      <c r="BR16" s="227">
        <f t="shared" si="15"/>
        <v>0</v>
      </c>
      <c r="BS16" s="56">
        <f t="shared" si="20"/>
        <v>0</v>
      </c>
      <c r="BT16" s="9">
        <f t="shared" si="21"/>
        <v>0</v>
      </c>
      <c r="BU16" s="224">
        <f t="shared" si="22"/>
        <v>0</v>
      </c>
      <c r="BV16" s="15">
        <f t="shared" si="23"/>
        <v>0</v>
      </c>
      <c r="BW16" s="131">
        <v>89596</v>
      </c>
      <c r="BX16" s="53"/>
      <c r="BY16" s="122" t="e">
        <f>#REF!+#REF!+X16+#REF!+Y16+#REF!++AP16+#REF!+AX16+BI16+BT16+BW16+BX16</f>
        <v>#REF!</v>
      </c>
      <c r="BZ16" s="122"/>
      <c r="CA16" s="122"/>
      <c r="CB16" s="224">
        <v>2757</v>
      </c>
      <c r="CC16" s="15">
        <f t="shared" si="25"/>
        <v>0</v>
      </c>
      <c r="CD16" s="122">
        <f>AJ16+AP16+AX16+BI16+BT16+BW16</f>
        <v>470121.25988000003</v>
      </c>
      <c r="CE16" s="102"/>
      <c r="CF16" s="102"/>
    </row>
    <row r="17" spans="1:104" ht="15" customHeight="1" x14ac:dyDescent="0.2">
      <c r="A17" s="121">
        <v>10</v>
      </c>
      <c r="B17" s="6" t="s">
        <v>8</v>
      </c>
      <c r="C17" s="50" t="s">
        <v>4</v>
      </c>
      <c r="D17" s="52">
        <v>82400</v>
      </c>
      <c r="E17" s="52">
        <f t="shared" si="0"/>
        <v>81576</v>
      </c>
      <c r="F17" s="111">
        <v>7</v>
      </c>
      <c r="G17" s="111">
        <v>7</v>
      </c>
      <c r="H17" s="111">
        <v>7</v>
      </c>
      <c r="I17" s="125">
        <f t="shared" si="1"/>
        <v>0</v>
      </c>
      <c r="J17" s="52">
        <f>F17*J6</f>
        <v>122360</v>
      </c>
      <c r="K17" s="167">
        <f>I17*J6</f>
        <v>0</v>
      </c>
      <c r="L17" s="167">
        <v>0</v>
      </c>
      <c r="M17" s="53">
        <f>G17*J6</f>
        <v>122360</v>
      </c>
      <c r="N17" s="168">
        <f t="shared" si="2"/>
        <v>121136.4</v>
      </c>
      <c r="O17" s="49">
        <v>63</v>
      </c>
      <c r="P17" s="49">
        <v>61</v>
      </c>
      <c r="Q17" s="169">
        <v>60</v>
      </c>
      <c r="R17" s="170">
        <f>Q17-O17</f>
        <v>-3</v>
      </c>
      <c r="S17" s="53">
        <f>O17*S6</f>
        <v>217098</v>
      </c>
      <c r="T17" s="167">
        <f>R17*-1*S6+351.49</f>
        <v>10689.49</v>
      </c>
      <c r="U17" s="167">
        <v>0</v>
      </c>
      <c r="V17" s="53">
        <f>Q17*S6</f>
        <v>206760</v>
      </c>
      <c r="W17" s="53">
        <f>Q17*S6*99/100</f>
        <v>204692.4</v>
      </c>
      <c r="X17" s="190"/>
      <c r="Y17" s="190"/>
      <c r="Z17" s="190"/>
      <c r="AA17" s="190"/>
      <c r="AB17" s="190"/>
      <c r="AC17" s="190"/>
      <c r="AD17" s="190"/>
      <c r="AE17" s="112">
        <f>S23*1/2664*Q17</f>
        <v>2764.9873873873753</v>
      </c>
      <c r="AF17" s="112">
        <f>E17+N17+W17</f>
        <v>407404.79999999999</v>
      </c>
      <c r="AG17" s="112">
        <f t="shared" si="5"/>
        <v>0</v>
      </c>
      <c r="AH17" s="112">
        <f>AF17+AG17</f>
        <v>407404.79999999999</v>
      </c>
      <c r="AI17" s="112">
        <f t="shared" si="16"/>
        <v>13851.763200000001</v>
      </c>
      <c r="AJ17" s="112">
        <f t="shared" si="17"/>
        <v>421256.56319999998</v>
      </c>
      <c r="AK17" s="7"/>
      <c r="AL17" s="7"/>
      <c r="AM17" s="7"/>
      <c r="AN17" s="91">
        <v>0</v>
      </c>
      <c r="AO17" s="53">
        <f t="shared" si="7"/>
        <v>0</v>
      </c>
      <c r="AP17" s="53">
        <f>AO17</f>
        <v>0</v>
      </c>
      <c r="AQ17" s="54">
        <f t="shared" si="8"/>
        <v>0</v>
      </c>
      <c r="AR17" s="167">
        <v>0</v>
      </c>
      <c r="AS17" s="22">
        <v>3</v>
      </c>
      <c r="AT17" s="29"/>
      <c r="AU17" s="218">
        <v>3</v>
      </c>
      <c r="AV17" s="219">
        <f t="shared" si="27"/>
        <v>0</v>
      </c>
      <c r="AW17" s="52">
        <f t="shared" si="9"/>
        <v>29433</v>
      </c>
      <c r="AX17" s="55">
        <f>AW17</f>
        <v>29433</v>
      </c>
      <c r="AY17" s="112">
        <f t="shared" si="28"/>
        <v>0</v>
      </c>
      <c r="AZ17" s="229">
        <f>IF(AU17&lt;=AS17,(AS17-AU17)*$AX$6,0)</f>
        <v>0</v>
      </c>
      <c r="BA17" s="1"/>
      <c r="BB17" s="9">
        <f>AV17*AW6*-1</f>
        <v>0</v>
      </c>
      <c r="BC17" s="222">
        <f t="shared" si="10"/>
        <v>63</v>
      </c>
      <c r="BD17" s="222">
        <v>0</v>
      </c>
      <c r="BE17" s="33">
        <f t="shared" si="11"/>
        <v>61</v>
      </c>
      <c r="BF17" s="33">
        <f t="shared" si="12"/>
        <v>60</v>
      </c>
      <c r="BG17" s="223">
        <f>BF17-BC17</f>
        <v>-3</v>
      </c>
      <c r="BH17" s="56">
        <f t="shared" si="14"/>
        <v>2205</v>
      </c>
      <c r="BI17" s="9">
        <f>BF17*BH6</f>
        <v>2100</v>
      </c>
      <c r="BJ17" s="224">
        <f>BG17*-1*BH6</f>
        <v>105</v>
      </c>
      <c r="BK17" s="9">
        <f t="shared" si="18"/>
        <v>0</v>
      </c>
      <c r="BL17" s="53"/>
      <c r="BM17" s="232"/>
      <c r="BN17" s="232"/>
      <c r="BO17" s="227">
        <f t="shared" si="19"/>
        <v>0</v>
      </c>
      <c r="BP17" s="53"/>
      <c r="BQ17" s="232"/>
      <c r="BR17" s="227">
        <f t="shared" si="15"/>
        <v>0</v>
      </c>
      <c r="BS17" s="56">
        <f t="shared" si="20"/>
        <v>0</v>
      </c>
      <c r="BT17" s="9">
        <f t="shared" si="21"/>
        <v>0</v>
      </c>
      <c r="BU17" s="224">
        <f t="shared" si="22"/>
        <v>0</v>
      </c>
      <c r="BV17" s="15">
        <f t="shared" si="23"/>
        <v>0</v>
      </c>
      <c r="BW17" s="131">
        <v>73055</v>
      </c>
      <c r="BX17" s="53"/>
      <c r="BY17" s="122" t="e">
        <f>#REF!+#REF!+X17+#REF!+Y17+#REF!++AP17+#REF!+AX17+BI17+BT17+BW17+BX17</f>
        <v>#REF!</v>
      </c>
      <c r="BZ17" s="122"/>
      <c r="CA17" s="122"/>
      <c r="CB17" s="224">
        <f t="shared" si="24"/>
        <v>0</v>
      </c>
      <c r="CC17" s="15">
        <v>5514</v>
      </c>
      <c r="CD17" s="122">
        <f t="shared" si="26"/>
        <v>525844.56319999998</v>
      </c>
      <c r="CE17" s="1"/>
    </row>
    <row r="18" spans="1:104" ht="15" customHeight="1" x14ac:dyDescent="0.2">
      <c r="A18" s="121"/>
      <c r="B18" s="119" t="s">
        <v>54</v>
      </c>
      <c r="C18" s="50"/>
      <c r="D18" s="52"/>
      <c r="E18" s="52"/>
      <c r="F18" s="111"/>
      <c r="G18" s="111"/>
      <c r="H18" s="111"/>
      <c r="I18" s="125"/>
      <c r="J18" s="52"/>
      <c r="K18" s="167"/>
      <c r="L18" s="167"/>
      <c r="M18" s="113"/>
      <c r="N18" s="168"/>
      <c r="O18" s="173"/>
      <c r="P18" s="173"/>
      <c r="Q18" s="174"/>
      <c r="R18" s="175"/>
      <c r="S18" s="113"/>
      <c r="T18" s="167"/>
      <c r="U18" s="167"/>
      <c r="V18" s="113"/>
      <c r="W18" s="53"/>
      <c r="X18" s="190"/>
      <c r="Y18" s="190"/>
      <c r="Z18" s="190"/>
      <c r="AA18" s="190"/>
      <c r="AB18" s="190"/>
      <c r="AC18" s="190"/>
      <c r="AD18" s="190"/>
      <c r="AE18" s="193"/>
      <c r="AF18" s="114"/>
      <c r="AG18" s="114">
        <f>AE19</f>
        <v>122765.43999999948</v>
      </c>
      <c r="AH18" s="114">
        <f>AG18</f>
        <v>122765.43999999948</v>
      </c>
      <c r="AI18" s="114">
        <f>AH18*0.034</f>
        <v>4174.0249599999825</v>
      </c>
      <c r="AJ18" s="112">
        <f>AH18+AI18+0.57</f>
        <v>126940.03495999947</v>
      </c>
      <c r="AK18" s="7"/>
      <c r="AL18" s="7"/>
      <c r="AM18" s="7"/>
      <c r="AN18" s="91"/>
      <c r="AO18" s="53">
        <f>AM18*AO6</f>
        <v>0</v>
      </c>
      <c r="AP18" s="53">
        <f>AO18</f>
        <v>0</v>
      </c>
      <c r="AQ18" s="54"/>
      <c r="AR18" s="167"/>
      <c r="AS18" s="233"/>
      <c r="AT18" s="233"/>
      <c r="AU18" s="234"/>
      <c r="AV18" s="235"/>
      <c r="AW18" s="115"/>
      <c r="AX18" s="116"/>
      <c r="AY18" s="114"/>
      <c r="AZ18" s="236"/>
      <c r="BA18" s="1"/>
      <c r="BB18" s="9"/>
      <c r="BC18" s="237"/>
      <c r="BD18" s="237"/>
      <c r="BE18" s="238"/>
      <c r="BF18" s="238"/>
      <c r="BG18" s="239"/>
      <c r="BH18" s="117"/>
      <c r="BI18" s="9"/>
      <c r="BJ18" s="224"/>
      <c r="BK18" s="9"/>
      <c r="BL18" s="113"/>
      <c r="BM18" s="240"/>
      <c r="BN18" s="240"/>
      <c r="BO18" s="227"/>
      <c r="BP18" s="113"/>
      <c r="BQ18" s="240"/>
      <c r="BR18" s="227"/>
      <c r="BS18" s="117"/>
      <c r="BT18" s="9"/>
      <c r="BU18" s="224"/>
      <c r="BV18" s="118"/>
      <c r="BW18" s="118"/>
      <c r="BX18" s="113"/>
      <c r="BY18" s="122"/>
      <c r="BZ18" s="122"/>
      <c r="CA18" s="122"/>
      <c r="CB18" s="224"/>
      <c r="CC18" s="15"/>
      <c r="CD18" s="122"/>
      <c r="CE18" s="1"/>
    </row>
    <row r="19" spans="1:104" s="8" customFormat="1" ht="15" customHeight="1" thickBot="1" x14ac:dyDescent="0.25">
      <c r="A19" s="123"/>
      <c r="B19" s="106" t="s">
        <v>38</v>
      </c>
      <c r="C19" s="106"/>
      <c r="D19" s="16">
        <f>SUM(D8:D17)</f>
        <v>824000</v>
      </c>
      <c r="E19" s="16">
        <f>SUM(E8:E17)</f>
        <v>815760</v>
      </c>
      <c r="F19" s="17">
        <f>SUM(F8:F18)</f>
        <v>130</v>
      </c>
      <c r="G19" s="17">
        <f>SUM(G8:G17)</f>
        <v>130</v>
      </c>
      <c r="H19" s="17">
        <f>SUM(H8:H18)</f>
        <v>131</v>
      </c>
      <c r="I19" s="92">
        <f>SUM(I8:I18)</f>
        <v>0</v>
      </c>
      <c r="J19" s="16">
        <f>SUM(J8:J17)</f>
        <v>2272400</v>
      </c>
      <c r="K19" s="16">
        <f>SUM(K8:K17)</f>
        <v>0</v>
      </c>
      <c r="L19" s="16">
        <f>SUM(L8:L18)</f>
        <v>0</v>
      </c>
      <c r="M19" s="16">
        <f>SUM(M8:M18)</f>
        <v>2272400</v>
      </c>
      <c r="N19" s="16">
        <f>SUM(N8:N17)</f>
        <v>2249676</v>
      </c>
      <c r="O19" s="30">
        <f>SUM(O8:O17)</f>
        <v>2688</v>
      </c>
      <c r="P19" s="30">
        <f>SUM(P8:P18)</f>
        <v>2665</v>
      </c>
      <c r="Q19" s="11">
        <f>SUM(Q8:Q17)</f>
        <v>2675</v>
      </c>
      <c r="R19" s="23">
        <f>SUM(R8:R17)</f>
        <v>-24</v>
      </c>
      <c r="S19" s="12">
        <f>SUM(S8:S17)</f>
        <v>9262848</v>
      </c>
      <c r="T19" s="16">
        <f>SUM(T8:T18)</f>
        <v>85515.940000000017</v>
      </c>
      <c r="U19" s="16">
        <f>SUM(U8:U18)</f>
        <v>0</v>
      </c>
      <c r="V19" s="16">
        <f>SUM(V8:V18)</f>
        <v>9180144</v>
      </c>
      <c r="W19" s="16">
        <f t="shared" ref="W19:AF19" si="29">SUM(W8:W17)</f>
        <v>9088342.5600000005</v>
      </c>
      <c r="X19" s="9">
        <f t="shared" si="29"/>
        <v>0</v>
      </c>
      <c r="Y19" s="9">
        <f t="shared" si="29"/>
        <v>0</v>
      </c>
      <c r="Z19" s="9">
        <f>SUM(Z8:Z18)</f>
        <v>0</v>
      </c>
      <c r="AA19" s="9">
        <f t="shared" si="29"/>
        <v>0</v>
      </c>
      <c r="AB19" s="9">
        <f t="shared" si="29"/>
        <v>0</v>
      </c>
      <c r="AC19" s="9">
        <f t="shared" si="29"/>
        <v>0</v>
      </c>
      <c r="AD19" s="9">
        <f t="shared" si="29"/>
        <v>0</v>
      </c>
      <c r="AE19" s="12">
        <f>SUM(AE8:AE18)</f>
        <v>122765.43999999948</v>
      </c>
      <c r="AF19" s="12">
        <f t="shared" si="29"/>
        <v>12153778.560000002</v>
      </c>
      <c r="AG19" s="12">
        <f>SUM(AG8:AG18)</f>
        <v>122765.43999999948</v>
      </c>
      <c r="AH19" s="12">
        <f>SUM(AH8:AH18)</f>
        <v>12276544.000000002</v>
      </c>
      <c r="AI19" s="12">
        <f>SUM(AI8:AI18)</f>
        <v>417402.4960000001</v>
      </c>
      <c r="AJ19" s="12">
        <f>SUM(AJ8:AJ18)</f>
        <v>12693947.066000002</v>
      </c>
      <c r="AK19" s="16" t="e">
        <f t="shared" ref="AK19:AM19" si="30">SUM(AK8:AK17)</f>
        <v>#REF!</v>
      </c>
      <c r="AL19" s="17">
        <f t="shared" si="30"/>
        <v>11</v>
      </c>
      <c r="AM19" s="17">
        <f t="shared" si="30"/>
        <v>8</v>
      </c>
      <c r="AN19" s="92">
        <f>SUM(AN7:AN17)</f>
        <v>3</v>
      </c>
      <c r="AO19" s="16">
        <f>SUM(AO8:AO18)</f>
        <v>22856</v>
      </c>
      <c r="AP19" s="16">
        <f t="shared" ref="AP19:AZ19" si="31">SUM(AP8:AP17)</f>
        <v>22856</v>
      </c>
      <c r="AQ19" s="16">
        <f t="shared" si="31"/>
        <v>0</v>
      </c>
      <c r="AR19" s="16">
        <f t="shared" si="31"/>
        <v>8571</v>
      </c>
      <c r="AS19" s="24">
        <f t="shared" si="31"/>
        <v>9</v>
      </c>
      <c r="AT19" s="24">
        <f t="shared" si="31"/>
        <v>0</v>
      </c>
      <c r="AU19" s="24">
        <f t="shared" si="31"/>
        <v>9</v>
      </c>
      <c r="AV19" s="19">
        <f t="shared" si="31"/>
        <v>0</v>
      </c>
      <c r="AW19" s="12">
        <f t="shared" si="31"/>
        <v>88299</v>
      </c>
      <c r="AX19" s="12">
        <f t="shared" si="31"/>
        <v>88299</v>
      </c>
      <c r="AY19" s="12">
        <f t="shared" si="31"/>
        <v>0</v>
      </c>
      <c r="AZ19" s="12">
        <f t="shared" si="31"/>
        <v>0</v>
      </c>
      <c r="BB19" s="16">
        <f>SUM(BB8:BB18)</f>
        <v>0</v>
      </c>
      <c r="BC19" s="13">
        <f t="shared" ref="BC19:BH19" si="32">SUM(BC8:BC17)</f>
        <v>2688</v>
      </c>
      <c r="BD19" s="13">
        <f>SUM(BD8:BD17)</f>
        <v>0</v>
      </c>
      <c r="BE19" s="13">
        <f t="shared" si="32"/>
        <v>2665</v>
      </c>
      <c r="BF19" s="13">
        <f>SUM(BF8:BF18)</f>
        <v>2675</v>
      </c>
      <c r="BG19" s="19">
        <f t="shared" si="32"/>
        <v>-24</v>
      </c>
      <c r="BH19" s="12">
        <f t="shared" si="32"/>
        <v>94080</v>
      </c>
      <c r="BI19" s="9">
        <f t="shared" ref="BI19:BQ19" si="33">SUM(BI8:BI17)</f>
        <v>93240</v>
      </c>
      <c r="BJ19" s="224">
        <f t="shared" si="33"/>
        <v>840</v>
      </c>
      <c r="BK19" s="9">
        <f t="shared" si="33"/>
        <v>0</v>
      </c>
      <c r="BL19" s="13">
        <f t="shared" si="33"/>
        <v>491</v>
      </c>
      <c r="BM19" s="241">
        <f t="shared" si="33"/>
        <v>486</v>
      </c>
      <c r="BN19" s="17">
        <f>SUM(BN8:BN18)</f>
        <v>0</v>
      </c>
      <c r="BO19" s="227">
        <f t="shared" si="33"/>
        <v>5</v>
      </c>
      <c r="BP19" s="13">
        <f t="shared" si="33"/>
        <v>0</v>
      </c>
      <c r="BQ19" s="241">
        <f t="shared" si="33"/>
        <v>0</v>
      </c>
      <c r="BR19" s="227">
        <f t="shared" si="15"/>
        <v>0</v>
      </c>
      <c r="BS19" s="12">
        <f t="shared" ref="BS19:BY19" si="34">SUM(BS8:BS17)</f>
        <v>48600</v>
      </c>
      <c r="BT19" s="9">
        <f t="shared" si="34"/>
        <v>48600</v>
      </c>
      <c r="BU19" s="224">
        <f t="shared" si="34"/>
        <v>0</v>
      </c>
      <c r="BV19" s="20">
        <f t="shared" si="34"/>
        <v>500</v>
      </c>
      <c r="BW19" s="20">
        <f t="shared" si="34"/>
        <v>248112</v>
      </c>
      <c r="BX19" s="12">
        <f t="shared" si="34"/>
        <v>1</v>
      </c>
      <c r="BY19" s="16" t="e">
        <f t="shared" si="34"/>
        <v>#REF!</v>
      </c>
      <c r="BZ19" s="16">
        <f t="shared" ref="BZ19:CA19" si="35">SUM(BZ8:BZ17)</f>
        <v>0</v>
      </c>
      <c r="CA19" s="16">
        <f t="shared" si="35"/>
        <v>0</v>
      </c>
      <c r="CB19" s="16">
        <f>SUM(CB8:CB18)</f>
        <v>9649</v>
      </c>
      <c r="CC19" s="16"/>
      <c r="CD19" s="16">
        <f>SUM(CD8:CD18)</f>
        <v>13068114.031040002</v>
      </c>
    </row>
    <row r="20" spans="1:104" s="8" customFormat="1" ht="15" customHeight="1" x14ac:dyDescent="0.2">
      <c r="A20" s="60"/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4"/>
      <c r="P20" s="244"/>
      <c r="Q20" s="244">
        <f>P8+P9+P10+P11+P12+P13+P14+P15+P16+Q17</f>
        <v>2664</v>
      </c>
      <c r="R20" s="244"/>
      <c r="S20" s="130">
        <f>Q20*S6</f>
        <v>9180144</v>
      </c>
      <c r="T20" s="130"/>
      <c r="U20" s="130"/>
      <c r="V20" s="130"/>
      <c r="W20" s="130"/>
      <c r="X20" s="129">
        <f>0.3/3.93*S23</f>
        <v>9371.4076335877453</v>
      </c>
      <c r="Y20" s="129">
        <f>0.6/3.93*S23</f>
        <v>18742.815267175491</v>
      </c>
      <c r="Z20" s="129">
        <f>0.5/3.93*S23</f>
        <v>15619.012722646245</v>
      </c>
      <c r="AA20" s="129"/>
      <c r="AB20" s="129"/>
      <c r="AC20" s="129">
        <f>0.73/3.93*S23</f>
        <v>22803.758575063515</v>
      </c>
      <c r="AD20" s="129">
        <f>0.3/3.93*S23</f>
        <v>9371.4076335877453</v>
      </c>
      <c r="AE20" s="130">
        <f>1.5/3.93*S23</f>
        <v>46857.038167938728</v>
      </c>
      <c r="AF20" s="245"/>
      <c r="AG20" s="130"/>
      <c r="AH20" s="130"/>
      <c r="AI20" s="130"/>
      <c r="AJ20" s="130"/>
      <c r="AK20" s="130"/>
      <c r="AL20" s="246"/>
      <c r="AM20" s="246"/>
      <c r="AN20" s="246"/>
      <c r="AO20" s="130"/>
      <c r="AP20" s="130"/>
      <c r="AQ20" s="130"/>
      <c r="AR20" s="130"/>
      <c r="AS20" s="246"/>
      <c r="AT20" s="246"/>
      <c r="AU20" s="246"/>
      <c r="AV20" s="246"/>
      <c r="AW20" s="130"/>
      <c r="AX20" s="130"/>
      <c r="AY20" s="130"/>
      <c r="AZ20" s="130"/>
      <c r="BA20" s="247"/>
      <c r="BB20" s="247"/>
      <c r="BC20" s="246"/>
      <c r="BD20" s="246"/>
      <c r="BE20" s="246"/>
      <c r="BF20" s="246">
        <f>BE8+BE9+BE10+BE11+BE12+BE13+BE14+BE15+BE16+BE17</f>
        <v>2665</v>
      </c>
      <c r="BG20" s="246"/>
      <c r="BH20" s="130"/>
      <c r="BI20" s="129"/>
      <c r="BJ20" s="248"/>
      <c r="BK20" s="129"/>
      <c r="BL20" s="246"/>
      <c r="BM20" s="246"/>
      <c r="BN20" s="246"/>
      <c r="BO20" s="249"/>
      <c r="BP20" s="246"/>
      <c r="BQ20" s="246"/>
      <c r="BR20" s="249"/>
      <c r="BS20" s="130"/>
      <c r="BT20" s="129"/>
      <c r="BU20" s="248"/>
      <c r="BV20" s="130"/>
      <c r="BW20" s="130"/>
      <c r="BX20" s="250"/>
      <c r="BY20" s="250"/>
      <c r="BZ20" s="250"/>
      <c r="CA20" s="250"/>
      <c r="CB20" s="250"/>
      <c r="CC20" s="250"/>
      <c r="CD20" s="251"/>
    </row>
    <row r="21" spans="1:104" x14ac:dyDescent="0.2">
      <c r="B21" s="252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4"/>
      <c r="T21" s="254"/>
      <c r="U21" s="254"/>
      <c r="V21" s="254"/>
      <c r="W21" s="254"/>
      <c r="X21" s="255"/>
      <c r="Y21" s="252"/>
      <c r="Z21" s="252"/>
      <c r="AA21" s="252"/>
      <c r="AB21" s="252"/>
      <c r="AC21" s="252"/>
      <c r="AD21" s="252"/>
      <c r="AE21" s="252"/>
      <c r="AF21" s="252"/>
      <c r="AG21" s="255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6"/>
      <c r="AX21" s="252"/>
      <c r="AY21" s="252"/>
      <c r="AZ21" s="252"/>
      <c r="BA21" s="252"/>
      <c r="BB21" s="252"/>
      <c r="BC21" s="252"/>
      <c r="BD21" s="252"/>
      <c r="BE21" s="252"/>
      <c r="BF21" s="252"/>
      <c r="BG21" s="252"/>
      <c r="BH21" s="252"/>
      <c r="BI21" s="252"/>
      <c r="BJ21" s="252"/>
      <c r="BK21" s="262" t="s">
        <v>21</v>
      </c>
      <c r="BL21" s="262"/>
      <c r="BM21" s="262"/>
      <c r="BN21" s="262"/>
      <c r="BO21" s="262"/>
      <c r="BP21" s="262"/>
      <c r="BQ21" s="262"/>
      <c r="BR21" s="262"/>
      <c r="BS21" s="262"/>
      <c r="BT21" s="262"/>
      <c r="BU21" s="262"/>
      <c r="BV21" s="263">
        <f>AJ19+AP19+AX19+BI19+BT19+BW19-AJ18</f>
        <v>13068114.031040002</v>
      </c>
      <c r="BW21" s="252"/>
      <c r="BX21" s="252"/>
      <c r="BY21" s="252"/>
      <c r="BZ21" s="252"/>
      <c r="CA21" s="252"/>
      <c r="CB21" s="257"/>
      <c r="CC21" s="252"/>
      <c r="CD21" s="252"/>
    </row>
    <row r="22" spans="1:104" x14ac:dyDescent="0.2"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 t="s">
        <v>47</v>
      </c>
      <c r="S22" s="255">
        <f>E19+N19+W19</f>
        <v>12153778.560000001</v>
      </c>
      <c r="T22" s="255"/>
      <c r="U22" s="255"/>
      <c r="V22" s="255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6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  <c r="BI22" s="252"/>
      <c r="BJ22" s="252"/>
      <c r="BK22" s="264" t="s">
        <v>33</v>
      </c>
      <c r="BL22" s="264"/>
      <c r="BM22" s="264"/>
      <c r="BN22" s="264"/>
      <c r="BO22" s="264"/>
      <c r="BP22" s="264"/>
      <c r="BQ22" s="264"/>
      <c r="BR22" s="264"/>
      <c r="BS22" s="264"/>
      <c r="BT22" s="264"/>
      <c r="BU22" s="264"/>
      <c r="BV22" s="263">
        <f>AJ18</f>
        <v>126940.03495999947</v>
      </c>
      <c r="BW22" s="252"/>
      <c r="BX22" s="252"/>
      <c r="BY22" s="252"/>
      <c r="BZ22" s="252"/>
      <c r="CA22" s="252"/>
      <c r="CB22" s="252"/>
      <c r="CC22" s="252"/>
      <c r="CD22" s="252"/>
    </row>
    <row r="23" spans="1:104" s="14" customFormat="1" ht="15.75" customHeight="1" x14ac:dyDescent="0.2"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 t="s">
        <v>48</v>
      </c>
      <c r="S23" s="259">
        <f>D19+M19+V19-S22</f>
        <v>122765.43999999948</v>
      </c>
      <c r="T23" s="259"/>
      <c r="U23" s="259"/>
      <c r="V23" s="259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8"/>
      <c r="BA23" s="258"/>
      <c r="BB23" s="258"/>
      <c r="BC23" s="258"/>
      <c r="BD23" s="258"/>
      <c r="BE23" s="258"/>
      <c r="BF23" s="258"/>
      <c r="BG23" s="258"/>
      <c r="BH23" s="258"/>
      <c r="BI23" s="258"/>
      <c r="BJ23" s="258"/>
      <c r="BK23" s="265" t="s">
        <v>34</v>
      </c>
      <c r="BL23" s="265"/>
      <c r="BM23" s="265"/>
      <c r="BN23" s="265"/>
      <c r="BO23" s="265"/>
      <c r="BP23" s="265"/>
      <c r="BQ23" s="265"/>
      <c r="BR23" s="265"/>
      <c r="BS23" s="265"/>
      <c r="BT23" s="265"/>
      <c r="BU23" s="265"/>
      <c r="BV23" s="266">
        <f>K19+T19+AQ19+AY19+BJ19+BU19+CB19</f>
        <v>96004.940000000017</v>
      </c>
      <c r="BW23" s="258"/>
      <c r="BX23" s="258"/>
      <c r="BY23" s="258"/>
      <c r="BZ23" s="258"/>
      <c r="CA23" s="258"/>
      <c r="CB23" s="258"/>
      <c r="CC23" s="258"/>
      <c r="CD23" s="258"/>
    </row>
    <row r="24" spans="1:104" s="14" customFormat="1" ht="15.75" customHeight="1" x14ac:dyDescent="0.2"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9"/>
      <c r="T24" s="259"/>
      <c r="U24" s="259"/>
      <c r="V24" s="259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8"/>
      <c r="BA24" s="258"/>
      <c r="BB24" s="258"/>
      <c r="BC24" s="258"/>
      <c r="BD24" s="258"/>
      <c r="BE24" s="258"/>
      <c r="BF24" s="258"/>
      <c r="BG24" s="258"/>
      <c r="BH24" s="258"/>
      <c r="BI24" s="258"/>
      <c r="BJ24" s="258"/>
      <c r="BK24" s="265" t="s">
        <v>36</v>
      </c>
      <c r="BL24" s="267"/>
      <c r="BM24" s="267"/>
      <c r="BN24" s="267"/>
      <c r="BO24" s="267"/>
      <c r="BP24" s="267"/>
      <c r="BQ24" s="267"/>
      <c r="BR24" s="267"/>
      <c r="BS24" s="267"/>
      <c r="BT24" s="267"/>
      <c r="BU24" s="267"/>
      <c r="BV24" s="266"/>
      <c r="BW24" s="258"/>
      <c r="BX24" s="258"/>
      <c r="BY24" s="258"/>
      <c r="BZ24" s="258"/>
      <c r="CA24" s="258"/>
      <c r="CB24" s="258"/>
      <c r="CC24" s="258"/>
      <c r="CD24" s="258"/>
    </row>
    <row r="25" spans="1:104" s="14" customFormat="1" ht="15.75" customHeight="1" x14ac:dyDescent="0.2"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8"/>
      <c r="P25" s="258"/>
      <c r="Q25" s="258"/>
      <c r="R25" s="258"/>
      <c r="S25" s="259"/>
      <c r="T25" s="259"/>
      <c r="U25" s="259"/>
      <c r="V25" s="259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8"/>
      <c r="AK25" s="258"/>
      <c r="AL25" s="258"/>
      <c r="AM25" s="258"/>
      <c r="AN25" s="258"/>
      <c r="AO25" s="258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8"/>
      <c r="BA25" s="258"/>
      <c r="BB25" s="258"/>
      <c r="BC25" s="258"/>
      <c r="BD25" s="258"/>
      <c r="BE25" s="258"/>
      <c r="BF25" s="258"/>
      <c r="BG25" s="258"/>
      <c r="BH25" s="258"/>
      <c r="BI25" s="258"/>
      <c r="BJ25" s="258"/>
      <c r="BK25" s="265" t="s">
        <v>37</v>
      </c>
      <c r="BL25" s="267"/>
      <c r="BM25" s="267"/>
      <c r="BN25" s="267"/>
      <c r="BO25" s="267"/>
      <c r="BP25" s="267"/>
      <c r="BQ25" s="267"/>
      <c r="BR25" s="267"/>
      <c r="BS25" s="267"/>
      <c r="BT25" s="267"/>
      <c r="BU25" s="267"/>
      <c r="BV25" s="266"/>
      <c r="BW25" s="258"/>
      <c r="BX25" s="258"/>
      <c r="BY25" s="258"/>
      <c r="BZ25" s="258"/>
      <c r="CA25" s="258"/>
      <c r="CB25" s="258"/>
      <c r="CC25" s="258"/>
      <c r="CD25" s="258"/>
    </row>
    <row r="26" spans="1:104" s="2" customFormat="1" ht="13.5" customHeight="1" x14ac:dyDescent="0.2"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  <c r="BI26" s="260"/>
      <c r="BJ26" s="260"/>
      <c r="BK26" s="268" t="s">
        <v>35</v>
      </c>
      <c r="BL26" s="268"/>
      <c r="BM26" s="268"/>
      <c r="BN26" s="268"/>
      <c r="BO26" s="268"/>
      <c r="BP26" s="268"/>
      <c r="BQ26" s="268"/>
      <c r="BR26" s="268"/>
      <c r="BS26" s="268"/>
      <c r="BT26" s="268"/>
      <c r="BU26" s="268"/>
      <c r="BV26" s="269">
        <f>SUM(BV21:BV25)-0.01</f>
        <v>13291058.996000001</v>
      </c>
      <c r="BW26" s="260"/>
      <c r="BX26" s="260"/>
      <c r="BY26" s="260"/>
      <c r="BZ26" s="260"/>
      <c r="CA26" s="260"/>
      <c r="CB26" s="260"/>
      <c r="CC26" s="260"/>
      <c r="CD26" s="260"/>
    </row>
    <row r="27" spans="1:104" s="3" customFormat="1" ht="14.25" customHeight="1" x14ac:dyDescent="0.2"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1"/>
      <c r="BA27" s="261"/>
      <c r="BB27" s="261"/>
      <c r="BC27" s="261"/>
      <c r="BD27" s="261"/>
      <c r="BE27" s="261"/>
      <c r="BF27" s="261"/>
      <c r="BG27" s="261"/>
      <c r="BH27" s="261"/>
      <c r="BI27" s="261"/>
      <c r="BJ27" s="261"/>
      <c r="BK27" s="261"/>
      <c r="BL27" s="261"/>
      <c r="BM27" s="261"/>
      <c r="BN27" s="261"/>
      <c r="BO27" s="261"/>
      <c r="BP27" s="261"/>
      <c r="BQ27" s="261"/>
      <c r="BR27" s="261"/>
      <c r="BS27" s="261"/>
      <c r="BT27" s="261"/>
      <c r="BU27" s="261"/>
      <c r="BV27" s="261"/>
      <c r="BW27" s="261"/>
      <c r="BX27" s="261"/>
      <c r="BY27" s="261"/>
      <c r="BZ27" s="261"/>
      <c r="CA27" s="261"/>
      <c r="CB27" s="261"/>
      <c r="CC27" s="261"/>
      <c r="CD27" s="261"/>
    </row>
    <row r="28" spans="1:104" ht="15" customHeight="1" x14ac:dyDescent="0.2">
      <c r="B28" s="252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  <c r="AV28" s="252"/>
      <c r="AW28" s="256"/>
      <c r="AX28" s="252"/>
      <c r="AY28" s="252"/>
      <c r="AZ28" s="252"/>
      <c r="BA28" s="252"/>
      <c r="BB28" s="252"/>
      <c r="BC28" s="252"/>
      <c r="BD28" s="252"/>
      <c r="BE28" s="252"/>
      <c r="BF28" s="252"/>
      <c r="BG28" s="252"/>
      <c r="BH28" s="252"/>
      <c r="BI28" s="252"/>
      <c r="BJ28" s="252"/>
      <c r="BK28" s="252"/>
      <c r="BL28" s="252"/>
      <c r="BM28" s="252"/>
      <c r="BN28" s="252"/>
      <c r="BO28" s="252"/>
      <c r="BP28" s="252"/>
      <c r="BQ28" s="252"/>
      <c r="BR28" s="252"/>
      <c r="BS28" s="252"/>
      <c r="BT28" s="252"/>
      <c r="BU28" s="252"/>
      <c r="BV28" s="252"/>
      <c r="BW28" s="252"/>
      <c r="BX28" s="252"/>
      <c r="BY28" s="252"/>
      <c r="BZ28" s="252"/>
      <c r="CA28" s="252"/>
      <c r="CB28" s="252"/>
      <c r="CC28" s="252"/>
      <c r="CD28" s="252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</row>
    <row r="29" spans="1:104" ht="14.25" customHeight="1" x14ac:dyDescent="0.2">
      <c r="BK29" s="90"/>
      <c r="BV29" s="126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ht="12.75" customHeight="1" x14ac:dyDescent="0.2">
      <c r="A30" s="25"/>
      <c r="B30" s="69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0"/>
      <c r="P30" s="70"/>
      <c r="Q30" s="79"/>
      <c r="R30" s="80"/>
      <c r="S30" s="81"/>
      <c r="T30" s="81"/>
      <c r="U30" s="81"/>
      <c r="V30" s="81"/>
      <c r="W30" s="81"/>
      <c r="X30" s="71"/>
      <c r="Y30" s="71"/>
      <c r="Z30" s="71"/>
      <c r="AA30" s="71"/>
      <c r="AB30" s="71"/>
      <c r="AC30" s="71"/>
      <c r="AD30" s="71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82"/>
      <c r="AT30" s="82"/>
      <c r="AU30" s="83"/>
      <c r="AV30" s="84"/>
      <c r="AW30" s="85"/>
      <c r="AX30" s="71"/>
      <c r="AY30" s="86"/>
      <c r="AZ30" s="87"/>
      <c r="BA30" s="1"/>
      <c r="BB30" s="1"/>
      <c r="BC30" s="74"/>
      <c r="BD30" s="74"/>
      <c r="BE30" s="18"/>
      <c r="BF30" s="18"/>
      <c r="BG30" s="80"/>
      <c r="BH30" s="75"/>
      <c r="BI30" s="77"/>
      <c r="BJ30" s="88"/>
      <c r="BK30" s="63"/>
      <c r="BL30" s="89"/>
      <c r="BM30" s="89"/>
      <c r="BN30" s="89"/>
      <c r="BO30" s="68"/>
      <c r="BP30" s="89"/>
      <c r="BQ30" s="89"/>
      <c r="BR30" s="68"/>
      <c r="BS30" s="76"/>
      <c r="BT30" s="77"/>
      <c r="BU30" s="88"/>
      <c r="BV30" s="71"/>
      <c r="BW30" s="26"/>
      <c r="BX30" s="27"/>
      <c r="BY30" s="27"/>
      <c r="BZ30" s="27"/>
      <c r="CA30" s="27"/>
      <c r="CB30" s="27"/>
      <c r="CC30" s="27"/>
      <c r="CD30" s="89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</row>
    <row r="31" spans="1:104" ht="15" customHeight="1" x14ac:dyDescent="0.2">
      <c r="A31" s="25"/>
      <c r="B31" s="69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0"/>
      <c r="P31" s="70"/>
      <c r="Q31" s="79"/>
      <c r="R31" s="80"/>
      <c r="S31" s="81"/>
      <c r="T31" s="81"/>
      <c r="U31" s="81"/>
      <c r="V31" s="81"/>
      <c r="W31" s="81"/>
      <c r="X31" s="71"/>
      <c r="Y31" s="71"/>
      <c r="Z31" s="71"/>
      <c r="AA31" s="71"/>
      <c r="AB31" s="71"/>
      <c r="AC31" s="71"/>
      <c r="AD31" s="71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82"/>
      <c r="AT31" s="82"/>
      <c r="AU31" s="83"/>
      <c r="AV31" s="84"/>
      <c r="AW31" s="85"/>
      <c r="AX31" s="71"/>
      <c r="AY31" s="86"/>
      <c r="AZ31" s="87"/>
      <c r="BA31" s="1"/>
      <c r="BB31" s="1"/>
      <c r="BC31" s="74"/>
      <c r="BD31" s="74"/>
      <c r="BE31" s="18"/>
      <c r="BF31" s="18"/>
      <c r="BG31" s="80"/>
      <c r="BH31" s="75"/>
      <c r="BI31" s="77"/>
      <c r="BJ31" s="88"/>
      <c r="BK31" s="63"/>
      <c r="BL31" s="89"/>
      <c r="BM31" s="89"/>
      <c r="BN31" s="89"/>
      <c r="BO31" s="68"/>
      <c r="BP31" s="89"/>
      <c r="BQ31" s="89"/>
      <c r="BR31" s="68"/>
      <c r="BS31" s="76"/>
      <c r="BT31" s="77"/>
      <c r="BU31" s="88"/>
      <c r="BV31" s="71"/>
      <c r="BW31" s="26"/>
      <c r="BX31" s="27"/>
      <c r="BY31" s="27"/>
      <c r="BZ31" s="27"/>
      <c r="CA31" s="27"/>
      <c r="CB31" s="27"/>
      <c r="CC31" s="27"/>
      <c r="CD31" s="89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</row>
    <row r="32" spans="1:104" ht="14.25" customHeight="1" x14ac:dyDescent="0.2">
      <c r="A32" s="25"/>
      <c r="B32" s="69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0"/>
      <c r="P32" s="70"/>
      <c r="Q32" s="79"/>
      <c r="R32" s="80"/>
      <c r="S32" s="81"/>
      <c r="T32" s="81"/>
      <c r="U32" s="81"/>
      <c r="V32" s="81"/>
      <c r="W32" s="81"/>
      <c r="X32" s="71"/>
      <c r="Y32" s="71"/>
      <c r="Z32" s="71"/>
      <c r="AA32" s="71"/>
      <c r="AB32" s="71"/>
      <c r="AC32" s="71"/>
      <c r="AD32" s="71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82"/>
      <c r="AT32" s="82"/>
      <c r="AU32" s="83"/>
      <c r="AV32" s="84"/>
      <c r="AW32" s="85"/>
      <c r="AX32" s="71"/>
      <c r="AY32" s="86"/>
      <c r="AZ32" s="87"/>
      <c r="BA32" s="1"/>
      <c r="BB32" s="1"/>
      <c r="BC32" s="74"/>
      <c r="BD32" s="74"/>
      <c r="BE32" s="18"/>
      <c r="BF32" s="18"/>
      <c r="BG32" s="80"/>
      <c r="BH32" s="75"/>
      <c r="BI32" s="77"/>
      <c r="BJ32" s="88"/>
      <c r="BK32" s="63"/>
      <c r="BL32" s="89"/>
      <c r="BM32" s="89"/>
      <c r="BN32" s="89"/>
      <c r="BO32" s="68"/>
      <c r="BP32" s="89"/>
      <c r="BQ32" s="89"/>
      <c r="BR32" s="68"/>
      <c r="BS32" s="76"/>
      <c r="BT32" s="77"/>
      <c r="BU32" s="88"/>
      <c r="BV32" s="71"/>
      <c r="BW32" s="26"/>
      <c r="BX32" s="27"/>
      <c r="BY32" s="27"/>
      <c r="BZ32" s="27"/>
      <c r="CA32" s="27"/>
      <c r="CB32" s="27"/>
      <c r="CC32" s="27"/>
      <c r="CD32" s="89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</row>
    <row r="34" spans="1:82" s="14" customFormat="1" ht="14.25" customHeight="1" x14ac:dyDescent="0.2"/>
    <row r="35" spans="1:82" s="2" customFormat="1" ht="15.75" customHeight="1" x14ac:dyDescent="0.2"/>
    <row r="36" spans="1:82" s="26" customFormat="1" x14ac:dyDescent="0.2">
      <c r="A36" s="25"/>
      <c r="B36" s="1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100"/>
      <c r="P36" s="100"/>
      <c r="Q36" s="94"/>
      <c r="R36" s="84"/>
      <c r="S36" s="27"/>
      <c r="T36" s="27"/>
      <c r="U36" s="27"/>
      <c r="V36" s="27"/>
      <c r="W36" s="27"/>
      <c r="X36" s="99"/>
      <c r="Y36" s="95"/>
      <c r="Z36" s="95"/>
      <c r="AA36" s="95"/>
      <c r="AB36" s="95"/>
      <c r="AC36" s="95"/>
      <c r="AD36" s="95"/>
      <c r="AE36" s="86"/>
      <c r="AF36" s="86"/>
      <c r="AG36" s="86"/>
      <c r="AH36" s="86"/>
      <c r="AI36" s="86"/>
      <c r="AJ36" s="86"/>
      <c r="AK36" s="25"/>
      <c r="AL36" s="25"/>
      <c r="AM36" s="25"/>
      <c r="AN36" s="25"/>
      <c r="AO36" s="27"/>
      <c r="AP36" s="27"/>
      <c r="AQ36" s="71"/>
      <c r="AR36" s="73"/>
      <c r="AS36" s="79"/>
      <c r="AT36" s="79"/>
      <c r="AU36" s="83"/>
      <c r="AV36" s="96"/>
      <c r="AW36" s="72"/>
      <c r="AX36" s="71"/>
      <c r="AY36" s="86"/>
      <c r="AZ36" s="87"/>
      <c r="BC36" s="18"/>
      <c r="BD36" s="18"/>
      <c r="BE36" s="18"/>
      <c r="BF36" s="18"/>
      <c r="BG36" s="97"/>
      <c r="BH36" s="75"/>
      <c r="BI36" s="63"/>
      <c r="BJ36" s="67"/>
      <c r="BK36" s="63"/>
      <c r="BL36" s="89"/>
      <c r="BM36" s="89"/>
      <c r="BN36" s="89"/>
      <c r="BO36" s="68"/>
      <c r="BP36" s="89"/>
      <c r="BQ36" s="89"/>
      <c r="BR36" s="68"/>
      <c r="BS36" s="75"/>
      <c r="BT36" s="63"/>
      <c r="BU36" s="67"/>
      <c r="BV36" s="71"/>
      <c r="BW36" s="71"/>
      <c r="BX36" s="27"/>
      <c r="BY36" s="81"/>
      <c r="BZ36" s="81"/>
      <c r="CA36" s="81"/>
      <c r="CB36" s="81"/>
      <c r="CC36" s="81"/>
      <c r="CD36" s="98"/>
    </row>
    <row r="37" spans="1:82" s="26" customFormat="1" x14ac:dyDescent="0.2">
      <c r="A37" s="25"/>
      <c r="B37" s="1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93"/>
      <c r="P37" s="93"/>
      <c r="Q37" s="94"/>
      <c r="R37" s="84"/>
      <c r="S37" s="27"/>
      <c r="T37" s="27"/>
      <c r="U37" s="27"/>
      <c r="V37" s="27"/>
      <c r="W37" s="27"/>
      <c r="X37" s="95"/>
      <c r="Y37" s="95"/>
      <c r="Z37" s="95"/>
      <c r="AA37" s="95"/>
      <c r="AB37" s="95"/>
      <c r="AC37" s="95"/>
      <c r="AD37" s="95"/>
      <c r="AE37" s="86"/>
      <c r="AF37" s="86"/>
      <c r="AG37" s="86"/>
      <c r="AH37" s="86"/>
      <c r="AI37" s="86"/>
      <c r="AJ37" s="86"/>
      <c r="AK37" s="25"/>
      <c r="AL37" s="25"/>
      <c r="AM37" s="25"/>
      <c r="AN37" s="25"/>
      <c r="AO37" s="27"/>
      <c r="AP37" s="27"/>
      <c r="AQ37" s="71"/>
      <c r="AR37" s="73"/>
      <c r="AS37" s="79"/>
      <c r="AT37" s="79"/>
      <c r="AU37" s="83"/>
      <c r="AV37" s="96"/>
      <c r="AW37" s="72"/>
      <c r="AX37" s="71"/>
      <c r="AY37" s="86"/>
      <c r="AZ37" s="87"/>
      <c r="BC37" s="18"/>
      <c r="BD37" s="18"/>
      <c r="BE37" s="18"/>
      <c r="BF37" s="18"/>
      <c r="BG37" s="97"/>
      <c r="BH37" s="75"/>
      <c r="BI37" s="63"/>
      <c r="BJ37" s="67"/>
      <c r="BK37" s="63"/>
      <c r="BL37" s="27"/>
      <c r="BM37" s="27"/>
      <c r="BN37" s="27"/>
      <c r="BO37" s="68"/>
      <c r="BP37" s="27"/>
      <c r="BQ37" s="27"/>
      <c r="BR37" s="68"/>
      <c r="BS37" s="75"/>
      <c r="BT37" s="63"/>
      <c r="BU37" s="67"/>
      <c r="BV37" s="71"/>
      <c r="BW37" s="71"/>
      <c r="BX37" s="27"/>
      <c r="BY37" s="81"/>
      <c r="BZ37" s="81"/>
      <c r="CA37" s="81"/>
      <c r="CB37" s="81"/>
      <c r="CC37" s="81"/>
      <c r="CD37" s="98"/>
    </row>
    <row r="38" spans="1:82" s="26" customFormat="1" x14ac:dyDescent="0.2">
      <c r="A38" s="25"/>
      <c r="B38" s="1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93"/>
      <c r="P38" s="93"/>
      <c r="Q38" s="94"/>
      <c r="R38" s="84"/>
      <c r="S38" s="27"/>
      <c r="T38" s="27"/>
      <c r="U38" s="27"/>
      <c r="V38" s="27"/>
      <c r="W38" s="27"/>
      <c r="X38" s="95"/>
      <c r="Y38" s="95"/>
      <c r="Z38" s="95"/>
      <c r="AA38" s="95"/>
      <c r="AB38" s="95"/>
      <c r="AC38" s="95"/>
      <c r="AD38" s="95"/>
      <c r="AE38" s="86"/>
      <c r="AF38" s="86"/>
      <c r="AG38" s="86"/>
      <c r="AH38" s="86"/>
      <c r="AI38" s="86"/>
      <c r="AJ38" s="86"/>
      <c r="AK38" s="25"/>
      <c r="AL38" s="25"/>
      <c r="AM38" s="25"/>
      <c r="AN38" s="25"/>
      <c r="AO38" s="27"/>
      <c r="AP38" s="27"/>
      <c r="AQ38" s="71"/>
      <c r="AR38" s="73"/>
      <c r="AS38" s="79"/>
      <c r="AT38" s="79"/>
      <c r="AU38" s="83"/>
      <c r="AV38" s="96"/>
      <c r="AW38" s="72"/>
      <c r="AX38" s="71"/>
      <c r="AY38" s="86"/>
      <c r="AZ38" s="87"/>
      <c r="BC38" s="18"/>
      <c r="BD38" s="18"/>
      <c r="BE38" s="18"/>
      <c r="BF38" s="18"/>
      <c r="BG38" s="97"/>
      <c r="BH38" s="75"/>
      <c r="BI38" s="63"/>
      <c r="BJ38" s="67"/>
      <c r="BK38" s="63"/>
      <c r="BL38" s="27"/>
      <c r="BM38" s="27"/>
      <c r="BN38" s="27"/>
      <c r="BO38" s="68"/>
      <c r="BP38" s="27"/>
      <c r="BQ38" s="27"/>
      <c r="BR38" s="68"/>
      <c r="BS38" s="75"/>
      <c r="BT38" s="63"/>
      <c r="BU38" s="67"/>
      <c r="BV38" s="71"/>
      <c r="BW38" s="71"/>
      <c r="BX38" s="27"/>
      <c r="BY38" s="81"/>
      <c r="BZ38" s="81"/>
      <c r="CA38" s="81"/>
      <c r="CB38" s="81"/>
      <c r="CC38" s="81"/>
      <c r="CD38" s="98"/>
    </row>
    <row r="39" spans="1:82" s="26" customFormat="1" x14ac:dyDescent="0.2">
      <c r="A39" s="25"/>
      <c r="B39" s="1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93"/>
      <c r="P39" s="93"/>
      <c r="Q39" s="94"/>
      <c r="R39" s="84"/>
      <c r="S39" s="27"/>
      <c r="T39" s="27"/>
      <c r="U39" s="27"/>
      <c r="V39" s="27"/>
      <c r="W39" s="27"/>
      <c r="X39" s="95"/>
      <c r="Y39" s="95"/>
      <c r="Z39" s="95"/>
      <c r="AA39" s="95"/>
      <c r="AB39" s="95"/>
      <c r="AC39" s="95"/>
      <c r="AD39" s="95"/>
      <c r="AE39" s="86"/>
      <c r="AF39" s="86"/>
      <c r="AG39" s="86"/>
      <c r="AH39" s="86"/>
      <c r="AI39" s="86"/>
      <c r="AJ39" s="86"/>
      <c r="AK39" s="25"/>
      <c r="AL39" s="25"/>
      <c r="AM39" s="25"/>
      <c r="AN39" s="25"/>
      <c r="AO39" s="27"/>
      <c r="AP39" s="27"/>
      <c r="AQ39" s="71"/>
      <c r="AR39" s="73"/>
      <c r="AS39" s="79"/>
      <c r="AT39" s="79"/>
      <c r="AU39" s="83"/>
      <c r="AV39" s="96"/>
      <c r="AW39" s="72"/>
      <c r="AX39" s="71"/>
      <c r="AY39" s="86"/>
      <c r="AZ39" s="87"/>
      <c r="BC39" s="18"/>
      <c r="BD39" s="18"/>
      <c r="BE39" s="18"/>
      <c r="BF39" s="18"/>
      <c r="BG39" s="97"/>
      <c r="BH39" s="75"/>
      <c r="BI39" s="63"/>
      <c r="BJ39" s="67"/>
      <c r="BK39" s="63"/>
      <c r="BL39" s="27"/>
      <c r="BM39" s="27"/>
      <c r="BN39" s="27"/>
      <c r="BO39" s="68"/>
      <c r="BP39" s="27"/>
      <c r="BQ39" s="27"/>
      <c r="BR39" s="68"/>
      <c r="BS39" s="75"/>
      <c r="BT39" s="63"/>
      <c r="BU39" s="67"/>
      <c r="BV39" s="71"/>
      <c r="BW39" s="71"/>
      <c r="BX39" s="27"/>
      <c r="BY39" s="81"/>
      <c r="BZ39" s="81"/>
      <c r="CA39" s="81"/>
      <c r="CB39" s="81"/>
      <c r="CC39" s="81"/>
      <c r="CD39" s="98"/>
    </row>
    <row r="40" spans="1:82" s="26" customFormat="1" x14ac:dyDescent="0.2">
      <c r="A40" s="25"/>
      <c r="B40" s="1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93"/>
      <c r="P40" s="93"/>
      <c r="Q40" s="94"/>
      <c r="R40" s="84"/>
      <c r="S40" s="27"/>
      <c r="T40" s="27"/>
      <c r="U40" s="27"/>
      <c r="V40" s="27"/>
      <c r="W40" s="27"/>
      <c r="X40" s="95"/>
      <c r="Y40" s="95"/>
      <c r="Z40" s="95"/>
      <c r="AA40" s="95"/>
      <c r="AB40" s="95"/>
      <c r="AC40" s="95"/>
      <c r="AD40" s="95"/>
      <c r="AE40" s="86"/>
      <c r="AF40" s="86"/>
      <c r="AG40" s="86"/>
      <c r="AH40" s="86"/>
      <c r="AI40" s="86"/>
      <c r="AJ40" s="86"/>
      <c r="AK40" s="25"/>
      <c r="AL40" s="25"/>
      <c r="AM40" s="25"/>
      <c r="AN40" s="25"/>
      <c r="AO40" s="27"/>
      <c r="AP40" s="27"/>
      <c r="AQ40" s="71"/>
      <c r="AR40" s="73"/>
      <c r="AS40" s="79"/>
      <c r="AT40" s="79"/>
      <c r="AU40" s="83"/>
      <c r="AV40" s="96"/>
      <c r="AW40" s="72"/>
      <c r="AX40" s="101"/>
      <c r="AY40" s="86"/>
      <c r="AZ40" s="87"/>
      <c r="BC40" s="18"/>
      <c r="BD40" s="18"/>
      <c r="BE40" s="18"/>
      <c r="BF40" s="18"/>
      <c r="BG40" s="97"/>
      <c r="BH40" s="75"/>
      <c r="BI40" s="63"/>
      <c r="BJ40" s="67"/>
      <c r="BK40" s="63"/>
      <c r="BL40" s="27"/>
      <c r="BM40" s="27"/>
      <c r="BN40" s="27"/>
      <c r="BO40" s="68"/>
      <c r="BP40" s="27"/>
      <c r="BQ40" s="27"/>
      <c r="BR40" s="68"/>
      <c r="BS40" s="75"/>
      <c r="BT40" s="63"/>
      <c r="BU40" s="67"/>
      <c r="BV40" s="71"/>
      <c r="BW40" s="71"/>
      <c r="BX40" s="27"/>
      <c r="BY40" s="81"/>
      <c r="BZ40" s="81"/>
      <c r="CA40" s="81"/>
      <c r="CB40" s="81"/>
      <c r="CC40" s="81"/>
      <c r="CD40" s="98"/>
    </row>
    <row r="41" spans="1:82" s="26" customFormat="1" x14ac:dyDescent="0.2">
      <c r="A41" s="137"/>
      <c r="B41" s="137"/>
      <c r="C41" s="137"/>
      <c r="D41" s="103"/>
      <c r="E41" s="104"/>
      <c r="F41" s="124"/>
      <c r="G41" s="103"/>
      <c r="H41" s="127"/>
      <c r="I41" s="124"/>
      <c r="J41" s="103"/>
      <c r="K41" s="124"/>
      <c r="L41" s="128"/>
      <c r="M41" s="124"/>
      <c r="N41" s="104"/>
      <c r="O41" s="61"/>
      <c r="P41" s="61"/>
      <c r="Q41" s="61"/>
      <c r="R41" s="62"/>
      <c r="S41" s="28"/>
      <c r="T41" s="28"/>
      <c r="U41" s="28"/>
      <c r="V41" s="28"/>
      <c r="W41" s="28"/>
      <c r="X41" s="63"/>
      <c r="Y41" s="63"/>
      <c r="Z41" s="63"/>
      <c r="AA41" s="63"/>
      <c r="AB41" s="63"/>
      <c r="AC41" s="63"/>
      <c r="AD41" s="63"/>
      <c r="AE41" s="28"/>
      <c r="AF41" s="28"/>
      <c r="AG41" s="28"/>
      <c r="AH41" s="28"/>
      <c r="AI41" s="28"/>
      <c r="AJ41" s="28"/>
      <c r="AK41" s="28"/>
      <c r="AL41" s="64"/>
      <c r="AM41" s="64"/>
      <c r="AN41" s="64"/>
      <c r="AO41" s="28"/>
      <c r="AP41" s="28"/>
      <c r="AQ41" s="28"/>
      <c r="AR41" s="28"/>
      <c r="AS41" s="65"/>
      <c r="AT41" s="65"/>
      <c r="AU41" s="65"/>
      <c r="AV41" s="66"/>
      <c r="AW41" s="28"/>
      <c r="AX41" s="28"/>
      <c r="AY41" s="28"/>
      <c r="AZ41" s="28"/>
      <c r="BA41" s="61"/>
      <c r="BB41" s="61"/>
      <c r="BC41" s="64"/>
      <c r="BD41" s="64"/>
      <c r="BE41" s="64"/>
      <c r="BF41" s="64"/>
      <c r="BG41" s="66"/>
      <c r="BH41" s="28"/>
      <c r="BI41" s="63"/>
      <c r="BJ41" s="67"/>
      <c r="BK41" s="63"/>
      <c r="BL41" s="64"/>
      <c r="BM41" s="64"/>
      <c r="BN41" s="64"/>
      <c r="BO41" s="68"/>
      <c r="BP41" s="64"/>
      <c r="BQ41" s="64"/>
      <c r="BR41" s="68"/>
      <c r="BS41" s="28"/>
      <c r="BT41" s="63"/>
      <c r="BU41" s="67"/>
      <c r="BV41" s="28"/>
      <c r="BW41" s="28"/>
      <c r="BX41" s="28"/>
      <c r="BY41" s="28"/>
      <c r="BZ41" s="28"/>
      <c r="CA41" s="28"/>
      <c r="CB41" s="28"/>
      <c r="CC41" s="28"/>
      <c r="CD41" s="64"/>
    </row>
  </sheetData>
  <sortState ref="A8:BD20">
    <sortCondition sortBy="cellColor" ref="B11" dxfId="0"/>
  </sortState>
  <mergeCells count="73">
    <mergeCell ref="CB5:CB6"/>
    <mergeCell ref="CC5:CC6"/>
    <mergeCell ref="BZ5:BZ6"/>
    <mergeCell ref="CA5:CA6"/>
    <mergeCell ref="AV5:AV6"/>
    <mergeCell ref="BW4:BW6"/>
    <mergeCell ref="AX5:AX6"/>
    <mergeCell ref="AZ5:AZ6"/>
    <mergeCell ref="BI5:BI6"/>
    <mergeCell ref="BX4:BX6"/>
    <mergeCell ref="BU5:BU6"/>
    <mergeCell ref="BB5:BB6"/>
    <mergeCell ref="BN5:BN6"/>
    <mergeCell ref="AS4:BB4"/>
    <mergeCell ref="B1:AJ1"/>
    <mergeCell ref="AK5:AK6"/>
    <mergeCell ref="AE5:AE6"/>
    <mergeCell ref="AD5:AD6"/>
    <mergeCell ref="AF5:AF6"/>
    <mergeCell ref="AG5:AG6"/>
    <mergeCell ref="AH4:AH6"/>
    <mergeCell ref="AI4:AI6"/>
    <mergeCell ref="M5:M6"/>
    <mergeCell ref="O5:R5"/>
    <mergeCell ref="D5:D6"/>
    <mergeCell ref="D4:W4"/>
    <mergeCell ref="X4:AE4"/>
    <mergeCell ref="AJ4:AJ6"/>
    <mergeCell ref="CD4:CD6"/>
    <mergeCell ref="AL4:AR4"/>
    <mergeCell ref="AQ5:AQ6"/>
    <mergeCell ref="BY4:BY6"/>
    <mergeCell ref="BC4:BK4"/>
    <mergeCell ref="BK5:BK6"/>
    <mergeCell ref="BS5:BS6"/>
    <mergeCell ref="BT5:BT6"/>
    <mergeCell ref="BQ5:BQ6"/>
    <mergeCell ref="BR5:BR6"/>
    <mergeCell ref="AY5:AY6"/>
    <mergeCell ref="BJ5:BJ6"/>
    <mergeCell ref="BV5:BV6"/>
    <mergeCell ref="BL4:BV4"/>
    <mergeCell ref="BM5:BM6"/>
    <mergeCell ref="BZ4:CA4"/>
    <mergeCell ref="BK26:BU26"/>
    <mergeCell ref="BO5:BO6"/>
    <mergeCell ref="A4:A6"/>
    <mergeCell ref="B4:B6"/>
    <mergeCell ref="X5:X6"/>
    <mergeCell ref="C4:C6"/>
    <mergeCell ref="Z5:Z6"/>
    <mergeCell ref="AA5:AA6"/>
    <mergeCell ref="AB5:AB6"/>
    <mergeCell ref="AC5:AC6"/>
    <mergeCell ref="C21:R21"/>
    <mergeCell ref="T5:T6"/>
    <mergeCell ref="V5:V6"/>
    <mergeCell ref="F5:I5"/>
    <mergeCell ref="BK21:BU21"/>
    <mergeCell ref="BK24:BU24"/>
    <mergeCell ref="BK25:BU25"/>
    <mergeCell ref="BK22:BU22"/>
    <mergeCell ref="BK23:BU23"/>
    <mergeCell ref="U5:U6"/>
    <mergeCell ref="BC5:BG5"/>
    <mergeCell ref="AR5:AR6"/>
    <mergeCell ref="AS5:AU5"/>
    <mergeCell ref="A41:C41"/>
    <mergeCell ref="AP5:AP6"/>
    <mergeCell ref="K5:K6"/>
    <mergeCell ref="Y5:Y6"/>
    <mergeCell ref="AL5:AN5"/>
    <mergeCell ref="L5:L6"/>
  </mergeCells>
  <phoneticPr fontId="1" type="noConversion"/>
  <pageMargins left="0.15748031496062992" right="0.15748031496062992" top="0.15748031496062992" bottom="0.15748031496062992" header="0" footer="0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Несп.у-ща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mishkova</dc:creator>
  <cp:lastModifiedBy>budjet1</cp:lastModifiedBy>
  <cp:lastPrinted>2024-02-20T10:54:39Z</cp:lastPrinted>
  <dcterms:created xsi:type="dcterms:W3CDTF">2010-01-17T11:17:21Z</dcterms:created>
  <dcterms:modified xsi:type="dcterms:W3CDTF">2025-05-09T11:20:34Z</dcterms:modified>
</cp:coreProperties>
</file>